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https://d.docs.live.net/0dd1a4904053cc85/Documents/Blackwell/ACEM/2020 ACEM/FINALS/"/>
    </mc:Choice>
  </mc:AlternateContent>
  <xr:revisionPtr revIDLastSave="1" documentId="8_{568E7449-EA36-4FCD-8C50-DC0F17A04A86}" xr6:coauthVersionLast="45" xr6:coauthVersionMax="45" xr10:uidLastSave="{03C044D3-D7C9-4BA7-AFD1-92177BF3D8CC}"/>
  <bookViews>
    <workbookView xWindow="-110" yWindow="-110" windowWidth="19420" windowHeight="11020" xr2:uid="{0E51D762-6FEF-4B07-967A-BE3D80BCA858}"/>
  </bookViews>
  <sheets>
    <sheet name="Scoring" sheetId="4" r:id="rId1"/>
    <sheet name="Editors Rescore" sheetId="12" r:id="rId2"/>
  </sheets>
  <definedNames>
    <definedName name="_xlnm._FilterDatabase" localSheetId="0" hidden="1">Scoring!$A$2:$Y$358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3" i="12" l="1"/>
  <c r="C3" i="12"/>
  <c r="D3" i="12"/>
  <c r="E3" i="12"/>
  <c r="F3" i="12"/>
  <c r="G3" i="12"/>
  <c r="B4" i="12"/>
  <c r="C4" i="12"/>
  <c r="D4" i="12"/>
  <c r="E4" i="12"/>
  <c r="F4" i="12"/>
  <c r="G4" i="12"/>
  <c r="B5" i="12"/>
  <c r="C5" i="12"/>
  <c r="D5" i="12"/>
  <c r="E5" i="12"/>
  <c r="F5" i="12"/>
  <c r="G5" i="12"/>
  <c r="B6" i="12"/>
  <c r="C6" i="12"/>
  <c r="D6" i="12"/>
  <c r="E6" i="12"/>
  <c r="F6" i="12"/>
  <c r="G6" i="12"/>
  <c r="B7" i="12"/>
  <c r="C7" i="12"/>
  <c r="D7" i="12"/>
  <c r="E7" i="12"/>
  <c r="F7" i="12"/>
  <c r="G7" i="12"/>
  <c r="B8" i="12"/>
  <c r="C8" i="12"/>
  <c r="D8" i="12"/>
  <c r="E8" i="12"/>
  <c r="F8" i="12"/>
  <c r="G8" i="12"/>
  <c r="B9" i="12"/>
  <c r="C9" i="12"/>
  <c r="D9" i="12"/>
  <c r="E9" i="12"/>
  <c r="F9" i="12"/>
  <c r="G9" i="12"/>
  <c r="B10" i="12"/>
  <c r="C10" i="12"/>
  <c r="D10" i="12"/>
  <c r="E10" i="12"/>
  <c r="F10" i="12"/>
  <c r="G10" i="12"/>
  <c r="B11" i="12"/>
  <c r="C11" i="12"/>
  <c r="D11" i="12"/>
  <c r="E11" i="12"/>
  <c r="F11" i="12"/>
  <c r="G11" i="12"/>
  <c r="B12" i="12"/>
  <c r="C12" i="12"/>
  <c r="D12" i="12"/>
  <c r="E12" i="12"/>
  <c r="F12" i="12"/>
  <c r="G12" i="12"/>
  <c r="B13" i="12"/>
  <c r="C13" i="12"/>
  <c r="D13" i="12"/>
  <c r="E13" i="12"/>
  <c r="F13" i="12"/>
  <c r="G13" i="12"/>
  <c r="B14" i="12"/>
  <c r="C14" i="12"/>
  <c r="D14" i="12"/>
  <c r="E14" i="12"/>
  <c r="F14" i="12"/>
  <c r="G14" i="12"/>
  <c r="B15" i="12"/>
  <c r="C15" i="12"/>
  <c r="D15" i="12"/>
  <c r="E15" i="12"/>
  <c r="F15" i="12"/>
  <c r="G15" i="12"/>
  <c r="B16" i="12"/>
  <c r="C16" i="12"/>
  <c r="D16" i="12"/>
  <c r="E16" i="12"/>
  <c r="F16" i="12"/>
  <c r="G16" i="12"/>
  <c r="B17" i="12"/>
  <c r="C17" i="12"/>
  <c r="D17" i="12"/>
  <c r="E17" i="12"/>
  <c r="F17" i="12"/>
  <c r="G17" i="12"/>
  <c r="B18" i="12"/>
  <c r="C18" i="12"/>
  <c r="D18" i="12"/>
  <c r="E18" i="12"/>
  <c r="F18" i="12"/>
  <c r="G18" i="12"/>
  <c r="B19" i="12"/>
  <c r="C19" i="12"/>
  <c r="D19" i="12"/>
  <c r="E19" i="12"/>
  <c r="F19" i="12"/>
  <c r="G19" i="12"/>
  <c r="B20" i="12"/>
  <c r="C20" i="12"/>
  <c r="D20" i="12"/>
  <c r="E20" i="12"/>
  <c r="F20" i="12"/>
  <c r="G20" i="12"/>
  <c r="B21" i="12"/>
  <c r="C21" i="12"/>
  <c r="D21" i="12"/>
  <c r="E21" i="12"/>
  <c r="F21" i="12"/>
  <c r="G21" i="12"/>
  <c r="B22" i="12"/>
  <c r="C22" i="12"/>
  <c r="D22" i="12"/>
  <c r="E22" i="12"/>
  <c r="F22" i="12"/>
  <c r="G22" i="12"/>
  <c r="B23" i="12"/>
  <c r="C23" i="12"/>
  <c r="D23" i="12"/>
  <c r="E23" i="12"/>
  <c r="F23" i="12"/>
  <c r="G23" i="12"/>
  <c r="B24" i="12"/>
  <c r="C24" i="12"/>
  <c r="D24" i="12"/>
  <c r="E24" i="12"/>
  <c r="F24" i="12"/>
  <c r="G24" i="12"/>
  <c r="B25" i="12"/>
  <c r="C25" i="12"/>
  <c r="D25" i="12"/>
  <c r="E25" i="12"/>
  <c r="F25" i="12"/>
  <c r="G25" i="12"/>
  <c r="B26" i="12"/>
  <c r="C26" i="12"/>
  <c r="D26" i="12"/>
  <c r="E26" i="12"/>
  <c r="F26" i="12"/>
  <c r="G26" i="12"/>
  <c r="B27" i="12"/>
  <c r="C27" i="12"/>
  <c r="D27" i="12"/>
  <c r="E27" i="12"/>
  <c r="F27" i="12"/>
  <c r="G27" i="12"/>
  <c r="B28" i="12"/>
  <c r="C28" i="12"/>
  <c r="D28" i="12"/>
  <c r="E28" i="12"/>
  <c r="F28" i="12"/>
  <c r="G28" i="12"/>
  <c r="B29" i="12"/>
  <c r="C29" i="12"/>
  <c r="D29" i="12"/>
  <c r="E29" i="12"/>
  <c r="F29" i="12"/>
  <c r="G29" i="12"/>
  <c r="B30" i="12"/>
  <c r="C30" i="12"/>
  <c r="D30" i="12"/>
  <c r="E30" i="12"/>
  <c r="F30" i="12"/>
  <c r="G30" i="12"/>
  <c r="B31" i="12"/>
  <c r="C31" i="12"/>
  <c r="D31" i="12"/>
  <c r="E31" i="12"/>
  <c r="F31" i="12"/>
  <c r="G31" i="12"/>
  <c r="B32" i="12"/>
  <c r="C32" i="12"/>
  <c r="D32" i="12"/>
  <c r="E32" i="12"/>
  <c r="F32" i="12"/>
  <c r="G32" i="12"/>
  <c r="B33" i="12"/>
  <c r="C33" i="12"/>
  <c r="D33" i="12"/>
  <c r="E33" i="12"/>
  <c r="F33" i="12"/>
  <c r="G33" i="12"/>
  <c r="B35" i="12"/>
  <c r="C35" i="12"/>
  <c r="D35" i="12"/>
  <c r="E35" i="12"/>
  <c r="F35" i="12"/>
  <c r="G35" i="12"/>
  <c r="B36" i="12"/>
  <c r="C36" i="12"/>
  <c r="D36" i="12"/>
  <c r="E36" i="12"/>
  <c r="F36" i="12"/>
  <c r="G36" i="12"/>
  <c r="B37" i="12"/>
  <c r="C37" i="12"/>
  <c r="D37" i="12"/>
  <c r="E37" i="12"/>
  <c r="F37" i="12"/>
  <c r="G37" i="12"/>
  <c r="B38" i="12"/>
  <c r="C38" i="12"/>
  <c r="D38" i="12"/>
  <c r="E38" i="12"/>
  <c r="F38" i="12"/>
  <c r="G38" i="12"/>
  <c r="B39" i="12"/>
  <c r="C39" i="12"/>
  <c r="D39" i="12"/>
  <c r="E39" i="12"/>
  <c r="F39" i="12"/>
  <c r="G39" i="12"/>
  <c r="B34" i="12"/>
  <c r="C34" i="12"/>
  <c r="D34" i="12"/>
  <c r="E34" i="12"/>
  <c r="F34" i="12"/>
  <c r="G34" i="12"/>
  <c r="B40" i="12"/>
  <c r="C40" i="12"/>
  <c r="D40" i="12"/>
  <c r="E40" i="12"/>
  <c r="F40" i="12"/>
  <c r="G40" i="12"/>
  <c r="B41" i="12"/>
  <c r="C41" i="12"/>
  <c r="D41" i="12"/>
  <c r="E41" i="12"/>
  <c r="F41" i="12"/>
  <c r="G41" i="12"/>
  <c r="B42" i="12"/>
  <c r="C42" i="12"/>
  <c r="D42" i="12"/>
  <c r="E42" i="12"/>
  <c r="F42" i="12"/>
  <c r="G42" i="12"/>
  <c r="B43" i="12"/>
  <c r="C43" i="12"/>
  <c r="D43" i="12"/>
  <c r="E43" i="12"/>
  <c r="F43" i="12"/>
  <c r="G43" i="12"/>
  <c r="B44" i="12"/>
  <c r="C44" i="12"/>
  <c r="D44" i="12"/>
  <c r="E44" i="12"/>
  <c r="F44" i="12"/>
  <c r="G44" i="12"/>
  <c r="B45" i="12"/>
  <c r="C45" i="12"/>
  <c r="D45" i="12"/>
  <c r="E45" i="12"/>
  <c r="F45" i="12"/>
  <c r="G45" i="12"/>
  <c r="B46" i="12"/>
  <c r="C46" i="12"/>
  <c r="D46" i="12"/>
  <c r="E46" i="12"/>
  <c r="F46" i="12"/>
  <c r="G46" i="12"/>
  <c r="B47" i="12"/>
  <c r="C47" i="12"/>
  <c r="D47" i="12"/>
  <c r="E47" i="12"/>
  <c r="F47" i="12"/>
  <c r="G47" i="12"/>
  <c r="B48" i="12"/>
  <c r="C48" i="12"/>
  <c r="D48" i="12"/>
  <c r="E48" i="12"/>
  <c r="F48" i="12"/>
  <c r="G48" i="12"/>
  <c r="B49" i="12"/>
  <c r="C49" i="12"/>
  <c r="D49" i="12"/>
  <c r="E49" i="12"/>
  <c r="F49" i="12"/>
  <c r="G49" i="12"/>
  <c r="B50" i="12"/>
  <c r="C50" i="12"/>
  <c r="D50" i="12"/>
  <c r="E50" i="12"/>
  <c r="F50" i="12"/>
  <c r="G50" i="12"/>
  <c r="B51" i="12"/>
  <c r="C51" i="12"/>
  <c r="D51" i="12"/>
  <c r="E51" i="12"/>
  <c r="F51" i="12"/>
  <c r="G51" i="12"/>
  <c r="B52" i="12"/>
  <c r="C52" i="12"/>
  <c r="D52" i="12"/>
  <c r="E52" i="12"/>
  <c r="F52" i="12"/>
  <c r="G52" i="12"/>
  <c r="B53" i="12"/>
  <c r="C53" i="12"/>
  <c r="D53" i="12"/>
  <c r="E53" i="12"/>
  <c r="F53" i="12"/>
  <c r="G53" i="12"/>
  <c r="B54" i="12"/>
  <c r="C54" i="12"/>
  <c r="D54" i="12"/>
  <c r="E54" i="12"/>
  <c r="F54" i="12"/>
  <c r="G54" i="12"/>
  <c r="B55" i="12"/>
  <c r="C55" i="12"/>
  <c r="D55" i="12"/>
  <c r="E55" i="12"/>
  <c r="F55" i="12"/>
  <c r="G55" i="12"/>
  <c r="B56" i="12"/>
  <c r="C56" i="12"/>
  <c r="D56" i="12"/>
  <c r="E56" i="12"/>
  <c r="F56" i="12"/>
  <c r="G56" i="12"/>
  <c r="B57" i="12"/>
  <c r="C57" i="12"/>
  <c r="D57" i="12"/>
  <c r="E57" i="12"/>
  <c r="F57" i="12"/>
  <c r="G57" i="12"/>
  <c r="B58" i="12"/>
  <c r="C58" i="12"/>
  <c r="D58" i="12"/>
  <c r="E58" i="12"/>
  <c r="F58" i="12"/>
  <c r="G58" i="12"/>
  <c r="B59" i="12"/>
  <c r="C59" i="12"/>
  <c r="D59" i="12"/>
  <c r="E59" i="12"/>
  <c r="F59" i="12"/>
  <c r="G59" i="12"/>
  <c r="B60" i="12"/>
  <c r="C60" i="12"/>
  <c r="D60" i="12"/>
  <c r="E60" i="12"/>
  <c r="F60" i="12"/>
  <c r="G60" i="12"/>
  <c r="B61" i="12"/>
  <c r="C61" i="12"/>
  <c r="D61" i="12"/>
  <c r="E61" i="12"/>
  <c r="F61" i="12"/>
  <c r="G61" i="12"/>
  <c r="B62" i="12"/>
  <c r="C62" i="12"/>
  <c r="D62" i="12"/>
  <c r="E62" i="12"/>
  <c r="F62" i="12"/>
  <c r="G62" i="12"/>
  <c r="B63" i="12"/>
  <c r="C63" i="12"/>
  <c r="D63" i="12"/>
  <c r="E63" i="12"/>
  <c r="F63" i="12"/>
  <c r="G63" i="12"/>
  <c r="G2" i="12"/>
  <c r="F2" i="12"/>
  <c r="E2" i="12"/>
  <c r="D2" i="12"/>
  <c r="C2" i="12"/>
  <c r="B2" i="12"/>
  <c r="U4" i="4" l="1"/>
  <c r="U5" i="4"/>
  <c r="U6" i="4"/>
  <c r="U7" i="4"/>
  <c r="U8" i="4"/>
  <c r="U9" i="4"/>
  <c r="U10"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60" i="4"/>
  <c r="U49" i="4"/>
  <c r="U50" i="4"/>
  <c r="U51" i="4"/>
  <c r="U52" i="4"/>
  <c r="U53" i="4"/>
  <c r="U54" i="4"/>
  <c r="U55" i="4"/>
  <c r="U57" i="4"/>
  <c r="U58" i="4"/>
  <c r="U59" i="4"/>
  <c r="U61" i="4"/>
  <c r="U62" i="4"/>
  <c r="U63" i="4"/>
  <c r="U64" i="4"/>
  <c r="U65" i="4"/>
  <c r="U66" i="4"/>
  <c r="U67" i="4"/>
  <c r="U68" i="4"/>
  <c r="U69" i="4"/>
  <c r="U70" i="4"/>
  <c r="U71" i="4"/>
  <c r="U72" i="4"/>
  <c r="U73" i="4"/>
  <c r="U74" i="4"/>
  <c r="U75" i="4"/>
  <c r="U76" i="4"/>
  <c r="U77" i="4"/>
  <c r="U78" i="4"/>
  <c r="U79" i="4"/>
  <c r="U80" i="4"/>
  <c r="U81" i="4"/>
  <c r="U82" i="4"/>
  <c r="U83" i="4"/>
  <c r="U84" i="4"/>
  <c r="U85" i="4"/>
  <c r="U86" i="4"/>
  <c r="U87" i="4"/>
  <c r="U88" i="4"/>
  <c r="U89" i="4"/>
  <c r="U90" i="4"/>
  <c r="U91" i="4"/>
  <c r="U92" i="4"/>
  <c r="U93" i="4"/>
  <c r="U94" i="4"/>
  <c r="U95" i="4"/>
  <c r="U96" i="4"/>
  <c r="U97" i="4"/>
  <c r="U98" i="4"/>
  <c r="U99" i="4"/>
  <c r="U100" i="4"/>
  <c r="U101" i="4"/>
  <c r="U102" i="4"/>
  <c r="U103" i="4"/>
  <c r="U104" i="4"/>
  <c r="U105" i="4"/>
  <c r="U106" i="4"/>
  <c r="U107" i="4"/>
  <c r="U108" i="4"/>
  <c r="U109" i="4"/>
  <c r="U110" i="4"/>
  <c r="U111" i="4"/>
  <c r="U112" i="4"/>
  <c r="U113" i="4"/>
  <c r="U114" i="4"/>
  <c r="U115" i="4"/>
  <c r="U116" i="4"/>
  <c r="U117" i="4"/>
  <c r="U118" i="4"/>
  <c r="U119" i="4"/>
  <c r="U120" i="4"/>
  <c r="U121" i="4"/>
  <c r="U122" i="4"/>
  <c r="U124" i="4"/>
  <c r="U125" i="4"/>
  <c r="U126" i="4"/>
  <c r="U127" i="4"/>
  <c r="U128" i="4"/>
  <c r="U129" i="4"/>
  <c r="U130" i="4"/>
  <c r="U131" i="4"/>
  <c r="U132" i="4"/>
  <c r="U133" i="4"/>
  <c r="U134" i="4"/>
  <c r="U135" i="4"/>
  <c r="U137" i="4"/>
  <c r="U138" i="4"/>
  <c r="U139" i="4"/>
  <c r="U140" i="4"/>
  <c r="U141" i="4"/>
  <c r="U142" i="4"/>
  <c r="U143" i="4"/>
  <c r="U144" i="4"/>
  <c r="U145" i="4"/>
  <c r="U146" i="4"/>
  <c r="U147" i="4"/>
  <c r="U148" i="4"/>
  <c r="U149" i="4"/>
  <c r="U150" i="4"/>
  <c r="U151" i="4"/>
  <c r="U152" i="4"/>
  <c r="U153" i="4"/>
  <c r="U154" i="4"/>
  <c r="U155" i="4"/>
  <c r="U156" i="4"/>
  <c r="U157" i="4"/>
  <c r="U158" i="4"/>
  <c r="U159" i="4"/>
  <c r="U160" i="4"/>
  <c r="U161" i="4"/>
  <c r="U162" i="4"/>
  <c r="U163" i="4"/>
  <c r="U164" i="4"/>
  <c r="U165" i="4"/>
  <c r="U166" i="4"/>
  <c r="U167" i="4"/>
  <c r="U168" i="4"/>
  <c r="U169" i="4"/>
  <c r="U170" i="4"/>
  <c r="U172" i="4"/>
  <c r="U173" i="4"/>
  <c r="U174" i="4"/>
  <c r="U175" i="4"/>
  <c r="U176" i="4"/>
  <c r="U177" i="4"/>
  <c r="U178" i="4"/>
  <c r="U179" i="4"/>
  <c r="U171" i="4"/>
  <c r="U180" i="4"/>
  <c r="U181" i="4"/>
  <c r="U182" i="4"/>
  <c r="U206" i="4"/>
  <c r="U183" i="4"/>
  <c r="U184" i="4"/>
  <c r="U185" i="4"/>
  <c r="U186" i="4"/>
  <c r="U187" i="4"/>
  <c r="U188" i="4"/>
  <c r="U189" i="4"/>
  <c r="U190" i="4"/>
  <c r="U191" i="4"/>
  <c r="U192" i="4"/>
  <c r="U193" i="4"/>
  <c r="U222" i="4"/>
  <c r="U194" i="4"/>
  <c r="U195" i="4"/>
  <c r="U197" i="4"/>
  <c r="U196" i="4"/>
  <c r="U198" i="4"/>
  <c r="U199" i="4"/>
  <c r="U200" i="4"/>
  <c r="U201" i="4"/>
  <c r="U202" i="4"/>
  <c r="U203" i="4"/>
  <c r="U204" i="4"/>
  <c r="U205" i="4"/>
  <c r="U207" i="4"/>
  <c r="U208" i="4"/>
  <c r="U209" i="4"/>
  <c r="U210" i="4"/>
  <c r="U211" i="4"/>
  <c r="U212" i="4"/>
  <c r="U213" i="4"/>
  <c r="U214" i="4"/>
  <c r="U215" i="4"/>
  <c r="U216" i="4"/>
  <c r="U217" i="4"/>
  <c r="U218" i="4"/>
  <c r="U219" i="4"/>
  <c r="U220" i="4"/>
  <c r="U221" i="4"/>
  <c r="U223" i="4"/>
  <c r="U224" i="4"/>
  <c r="U225" i="4"/>
  <c r="U226" i="4"/>
  <c r="U227" i="4"/>
  <c r="U228" i="4"/>
  <c r="U229" i="4"/>
  <c r="U230" i="4"/>
  <c r="U231" i="4"/>
  <c r="U232" i="4"/>
  <c r="U233" i="4"/>
  <c r="U234" i="4"/>
  <c r="U235" i="4"/>
  <c r="U236" i="4"/>
  <c r="U237" i="4"/>
  <c r="U238" i="4"/>
  <c r="U239" i="4"/>
  <c r="U240" i="4"/>
  <c r="U241" i="4"/>
  <c r="U242" i="4"/>
  <c r="U243" i="4"/>
  <c r="U244" i="4"/>
  <c r="U245" i="4"/>
  <c r="U246" i="4"/>
  <c r="U247" i="4"/>
  <c r="U248" i="4"/>
  <c r="U249" i="4"/>
  <c r="U250" i="4"/>
  <c r="U251" i="4"/>
  <c r="U252" i="4"/>
  <c r="U268" i="4"/>
  <c r="U255" i="4"/>
  <c r="U256" i="4"/>
  <c r="U257" i="4"/>
  <c r="U254" i="4"/>
  <c r="U258" i="4"/>
  <c r="U259" i="4"/>
  <c r="U260" i="4"/>
  <c r="U261" i="4"/>
  <c r="U262" i="4"/>
  <c r="U263" i="4"/>
  <c r="U265" i="4"/>
  <c r="U264" i="4"/>
  <c r="U266" i="4"/>
  <c r="U267" i="4"/>
  <c r="U269" i="4"/>
  <c r="U270" i="4"/>
  <c r="U271" i="4"/>
  <c r="U272" i="4"/>
  <c r="U273" i="4"/>
  <c r="U274" i="4"/>
  <c r="U275" i="4"/>
  <c r="U276" i="4"/>
  <c r="U277" i="4"/>
  <c r="U278" i="4"/>
  <c r="U279" i="4"/>
  <c r="U280" i="4"/>
  <c r="U281" i="4"/>
  <c r="U282" i="4"/>
  <c r="U283" i="4"/>
  <c r="U284" i="4"/>
  <c r="U285" i="4"/>
  <c r="U286" i="4"/>
  <c r="U287" i="4"/>
  <c r="U288" i="4"/>
  <c r="U290" i="4"/>
  <c r="U291" i="4"/>
  <c r="U292" i="4"/>
  <c r="U293" i="4"/>
  <c r="U294" i="4"/>
  <c r="U295" i="4"/>
  <c r="U296" i="4"/>
  <c r="U297" i="4"/>
  <c r="U298" i="4"/>
  <c r="U299" i="4"/>
  <c r="U300" i="4"/>
  <c r="U301" i="4"/>
  <c r="U302" i="4"/>
  <c r="U303" i="4"/>
  <c r="U304" i="4"/>
  <c r="U305" i="4"/>
  <c r="U306" i="4"/>
  <c r="U307" i="4"/>
  <c r="U308" i="4"/>
  <c r="U309" i="4"/>
  <c r="U310" i="4"/>
  <c r="U311" i="4"/>
  <c r="U312" i="4"/>
  <c r="U313" i="4"/>
  <c r="U314" i="4"/>
  <c r="U315" i="4"/>
  <c r="U316" i="4"/>
  <c r="U317" i="4"/>
  <c r="U318" i="4"/>
  <c r="U319" i="4"/>
  <c r="U320" i="4"/>
  <c r="U321" i="4"/>
  <c r="U323" i="4"/>
  <c r="U322" i="4"/>
  <c r="U324" i="4"/>
  <c r="U325" i="4"/>
  <c r="U326" i="4"/>
  <c r="U327" i="4"/>
  <c r="U328" i="4"/>
  <c r="U329" i="4"/>
  <c r="U330" i="4"/>
  <c r="U331" i="4"/>
  <c r="U332" i="4"/>
  <c r="U333" i="4"/>
  <c r="U334" i="4"/>
  <c r="U335" i="4"/>
  <c r="U336" i="4"/>
  <c r="U337" i="4"/>
  <c r="U338" i="4"/>
  <c r="U340" i="4"/>
  <c r="U339" i="4"/>
  <c r="U341" i="4"/>
  <c r="U343" i="4"/>
  <c r="U345" i="4"/>
  <c r="U344" i="4"/>
  <c r="U346" i="4"/>
  <c r="U347" i="4"/>
  <c r="U348" i="4"/>
  <c r="U349" i="4"/>
  <c r="U350" i="4"/>
  <c r="U351" i="4"/>
  <c r="U352" i="4"/>
  <c r="U354" i="4"/>
  <c r="U353" i="4"/>
  <c r="U355" i="4"/>
  <c r="U356" i="4"/>
  <c r="U357" i="4"/>
  <c r="U358" i="4"/>
  <c r="U3" i="4"/>
  <c r="T4" i="4"/>
  <c r="V4" i="4" s="1"/>
  <c r="T5" i="4"/>
  <c r="V5" i="4" s="1"/>
  <c r="T6" i="4"/>
  <c r="V6" i="4" s="1"/>
  <c r="T7" i="4"/>
  <c r="V7" i="4" s="1"/>
  <c r="T8" i="4"/>
  <c r="T9" i="4"/>
  <c r="T10" i="4"/>
  <c r="T11" i="4"/>
  <c r="T12" i="4"/>
  <c r="T13" i="4"/>
  <c r="T14" i="4"/>
  <c r="T15" i="4"/>
  <c r="T16" i="4"/>
  <c r="V16" i="4" s="1"/>
  <c r="T17" i="4"/>
  <c r="V17" i="4" s="1"/>
  <c r="T18" i="4"/>
  <c r="V18" i="4" s="1"/>
  <c r="T19" i="4"/>
  <c r="V19" i="4" s="1"/>
  <c r="T20" i="4"/>
  <c r="T21" i="4"/>
  <c r="T22" i="4"/>
  <c r="T23" i="4"/>
  <c r="T24" i="4"/>
  <c r="T25" i="4"/>
  <c r="T26" i="4"/>
  <c r="T27" i="4"/>
  <c r="T28" i="4"/>
  <c r="V28" i="4" s="1"/>
  <c r="T29" i="4"/>
  <c r="V29" i="4" s="1"/>
  <c r="T30" i="4"/>
  <c r="V30" i="4" s="1"/>
  <c r="T31" i="4"/>
  <c r="V31" i="4" s="1"/>
  <c r="T32" i="4"/>
  <c r="T33" i="4"/>
  <c r="T34" i="4"/>
  <c r="T35" i="4"/>
  <c r="T36" i="4"/>
  <c r="T37" i="4"/>
  <c r="T38" i="4"/>
  <c r="T39" i="4"/>
  <c r="T41" i="4"/>
  <c r="V41" i="4" s="1"/>
  <c r="T42" i="4"/>
  <c r="V42" i="4" s="1"/>
  <c r="T43" i="4"/>
  <c r="V43" i="4" s="1"/>
  <c r="T44" i="4"/>
  <c r="T45" i="4"/>
  <c r="V45" i="4" s="1"/>
  <c r="T46" i="4"/>
  <c r="T48" i="4"/>
  <c r="V48" i="4" s="1"/>
  <c r="T60" i="4"/>
  <c r="V60" i="4" s="1"/>
  <c r="T49" i="4"/>
  <c r="T50" i="4"/>
  <c r="V50" i="4" s="1"/>
  <c r="T51" i="4"/>
  <c r="V51" i="4" s="1"/>
  <c r="T52" i="4"/>
  <c r="V52" i="4" s="1"/>
  <c r="T53" i="4"/>
  <c r="V53" i="4" s="1"/>
  <c r="T54" i="4"/>
  <c r="V54" i="4" s="1"/>
  <c r="T55" i="4"/>
  <c r="V55" i="4" s="1"/>
  <c r="T56" i="4"/>
  <c r="T57" i="4"/>
  <c r="V57" i="4" s="1"/>
  <c r="T58" i="4"/>
  <c r="T59" i="4"/>
  <c r="V59" i="4" s="1"/>
  <c r="T62" i="4"/>
  <c r="V62" i="4" s="1"/>
  <c r="T63" i="4"/>
  <c r="V63" i="4" s="1"/>
  <c r="T64" i="4"/>
  <c r="V64" i="4" s="1"/>
  <c r="T65" i="4"/>
  <c r="V65" i="4" s="1"/>
  <c r="T66" i="4"/>
  <c r="V66" i="4" s="1"/>
  <c r="T67" i="4"/>
  <c r="V67" i="4" s="1"/>
  <c r="T68" i="4"/>
  <c r="V68" i="4" s="1"/>
  <c r="T69" i="4"/>
  <c r="V69" i="4" s="1"/>
  <c r="T70" i="4"/>
  <c r="V70" i="4" s="1"/>
  <c r="T71" i="4"/>
  <c r="V71" i="4" s="1"/>
  <c r="T72" i="4"/>
  <c r="V72" i="4" s="1"/>
  <c r="T73" i="4"/>
  <c r="V73" i="4" s="1"/>
  <c r="T74" i="4"/>
  <c r="T76" i="4"/>
  <c r="T77" i="4"/>
  <c r="V77" i="4" s="1"/>
  <c r="T78" i="4"/>
  <c r="V78" i="4" s="1"/>
  <c r="T79" i="4"/>
  <c r="V79" i="4" s="1"/>
  <c r="T80" i="4"/>
  <c r="V80" i="4" s="1"/>
  <c r="T81" i="4"/>
  <c r="T82" i="4"/>
  <c r="T83" i="4"/>
  <c r="T84" i="4"/>
  <c r="T85" i="4"/>
  <c r="T86" i="4"/>
  <c r="T87" i="4"/>
  <c r="T88" i="4"/>
  <c r="T89" i="4"/>
  <c r="V89" i="4" s="1"/>
  <c r="T90" i="4"/>
  <c r="V90" i="4" s="1"/>
  <c r="T91" i="4"/>
  <c r="V91" i="4" s="1"/>
  <c r="T92" i="4"/>
  <c r="V92" i="4" s="1"/>
  <c r="T93" i="4"/>
  <c r="T94" i="4"/>
  <c r="T95" i="4"/>
  <c r="T96" i="4"/>
  <c r="T97" i="4"/>
  <c r="T98" i="4"/>
  <c r="T99" i="4"/>
  <c r="T100" i="4"/>
  <c r="T101" i="4"/>
  <c r="V101" i="4" s="1"/>
  <c r="T102" i="4"/>
  <c r="V102" i="4" s="1"/>
  <c r="T103" i="4"/>
  <c r="V103" i="4" s="1"/>
  <c r="T104" i="4"/>
  <c r="V104" i="4" s="1"/>
  <c r="T105" i="4"/>
  <c r="T106" i="4"/>
  <c r="T108" i="4"/>
  <c r="T109" i="4"/>
  <c r="T110" i="4"/>
  <c r="T111" i="4"/>
  <c r="T112" i="4"/>
  <c r="T113" i="4"/>
  <c r="V113" i="4" s="1"/>
  <c r="T114" i="4"/>
  <c r="V114" i="4" s="1"/>
  <c r="T115" i="4"/>
  <c r="V115" i="4" s="1"/>
  <c r="T116" i="4"/>
  <c r="V116" i="4" s="1"/>
  <c r="T117" i="4"/>
  <c r="T118" i="4"/>
  <c r="T119" i="4"/>
  <c r="T120" i="4"/>
  <c r="T121" i="4"/>
  <c r="T122" i="4"/>
  <c r="T123" i="4"/>
  <c r="T124" i="4"/>
  <c r="T125" i="4"/>
  <c r="T126" i="4"/>
  <c r="V126" i="4" s="1"/>
  <c r="T127" i="4"/>
  <c r="V127" i="4" s="1"/>
  <c r="T128" i="4"/>
  <c r="V128" i="4" s="1"/>
  <c r="T129" i="4"/>
  <c r="V129" i="4" s="1"/>
  <c r="T130" i="4"/>
  <c r="T131" i="4"/>
  <c r="T132" i="4"/>
  <c r="T133" i="4"/>
  <c r="T134" i="4"/>
  <c r="T135" i="4"/>
  <c r="T136" i="4"/>
  <c r="T137" i="4"/>
  <c r="V137" i="4" s="1"/>
  <c r="T138" i="4"/>
  <c r="V138" i="4" s="1"/>
  <c r="T139" i="4"/>
  <c r="V139" i="4" s="1"/>
  <c r="T140" i="4"/>
  <c r="V140" i="4" s="1"/>
  <c r="T141" i="4"/>
  <c r="V141" i="4" s="1"/>
  <c r="T142" i="4"/>
  <c r="V142" i="4" s="1"/>
  <c r="T143" i="4"/>
  <c r="V143" i="4" s="1"/>
  <c r="T144" i="4"/>
  <c r="V144" i="4" s="1"/>
  <c r="T145" i="4"/>
  <c r="V145" i="4" s="1"/>
  <c r="T146" i="4"/>
  <c r="V146" i="4" s="1"/>
  <c r="T147" i="4"/>
  <c r="V147" i="4" s="1"/>
  <c r="T148" i="4"/>
  <c r="V148" i="4" s="1"/>
  <c r="T149" i="4"/>
  <c r="V149" i="4" s="1"/>
  <c r="T150" i="4"/>
  <c r="V150" i="4" s="1"/>
  <c r="T151" i="4"/>
  <c r="V151" i="4" s="1"/>
  <c r="T152" i="4"/>
  <c r="V152" i="4" s="1"/>
  <c r="T153" i="4"/>
  <c r="V153" i="4" s="1"/>
  <c r="T154" i="4"/>
  <c r="V154" i="4" s="1"/>
  <c r="T155" i="4"/>
  <c r="V155" i="4" s="1"/>
  <c r="T156" i="4"/>
  <c r="V156" i="4" s="1"/>
  <c r="T157" i="4"/>
  <c r="V157" i="4" s="1"/>
  <c r="T158" i="4"/>
  <c r="V158" i="4" s="1"/>
  <c r="T159" i="4"/>
  <c r="V159" i="4" s="1"/>
  <c r="T160" i="4"/>
  <c r="V160" i="4" s="1"/>
  <c r="T161" i="4"/>
  <c r="V161" i="4" s="1"/>
  <c r="T162" i="4"/>
  <c r="V162" i="4" s="1"/>
  <c r="T163" i="4"/>
  <c r="V163" i="4" s="1"/>
  <c r="T164" i="4"/>
  <c r="V164" i="4" s="1"/>
  <c r="T165" i="4"/>
  <c r="V165" i="4" s="1"/>
  <c r="T167" i="4"/>
  <c r="T168" i="4"/>
  <c r="T169" i="4"/>
  <c r="T170" i="4"/>
  <c r="T172" i="4"/>
  <c r="T173" i="4"/>
  <c r="T174" i="4"/>
  <c r="T175" i="4"/>
  <c r="T176" i="4"/>
  <c r="V176" i="4" s="1"/>
  <c r="T177" i="4"/>
  <c r="V177" i="4" s="1"/>
  <c r="T178" i="4"/>
  <c r="V178" i="4" s="1"/>
  <c r="T179" i="4"/>
  <c r="V179" i="4" s="1"/>
  <c r="T171" i="4"/>
  <c r="T180" i="4"/>
  <c r="T181" i="4"/>
  <c r="T182" i="4"/>
  <c r="T206" i="4"/>
  <c r="T183" i="4"/>
  <c r="T184" i="4"/>
  <c r="T185" i="4"/>
  <c r="T186" i="4"/>
  <c r="V186" i="4" s="1"/>
  <c r="T187" i="4"/>
  <c r="V187" i="4" s="1"/>
  <c r="T188" i="4"/>
  <c r="V188" i="4" s="1"/>
  <c r="T189" i="4"/>
  <c r="V189" i="4" s="1"/>
  <c r="T190" i="4"/>
  <c r="T191" i="4"/>
  <c r="T192" i="4"/>
  <c r="T193" i="4"/>
  <c r="T222" i="4"/>
  <c r="T194" i="4"/>
  <c r="T195" i="4"/>
  <c r="T197" i="4"/>
  <c r="T196" i="4"/>
  <c r="V196" i="4" s="1"/>
  <c r="T198" i="4"/>
  <c r="V198" i="4" s="1"/>
  <c r="T199" i="4"/>
  <c r="V199" i="4" s="1"/>
  <c r="T200" i="4"/>
  <c r="V200" i="4" s="1"/>
  <c r="T201" i="4"/>
  <c r="T202" i="4"/>
  <c r="T203" i="4"/>
  <c r="T204" i="4"/>
  <c r="T205" i="4"/>
  <c r="T207" i="4"/>
  <c r="T208" i="4"/>
  <c r="T209" i="4"/>
  <c r="T210" i="4"/>
  <c r="V210" i="4" s="1"/>
  <c r="T211" i="4"/>
  <c r="V211" i="4" s="1"/>
  <c r="T212" i="4"/>
  <c r="V212" i="4" s="1"/>
  <c r="T213" i="4"/>
  <c r="V213" i="4" s="1"/>
  <c r="T214" i="4"/>
  <c r="T215" i="4"/>
  <c r="T216" i="4"/>
  <c r="T217" i="4"/>
  <c r="T218" i="4"/>
  <c r="T219" i="4"/>
  <c r="T220" i="4"/>
  <c r="T221" i="4"/>
  <c r="T223" i="4"/>
  <c r="V223" i="4" s="1"/>
  <c r="T224" i="4"/>
  <c r="V224" i="4" s="1"/>
  <c r="T225" i="4"/>
  <c r="V225" i="4" s="1"/>
  <c r="T226" i="4"/>
  <c r="V226" i="4" s="1"/>
  <c r="T227" i="4"/>
  <c r="T228" i="4"/>
  <c r="T229" i="4"/>
  <c r="T230" i="4"/>
  <c r="T231" i="4"/>
  <c r="T232" i="4"/>
  <c r="T233" i="4"/>
  <c r="T235" i="4"/>
  <c r="V235" i="4" s="1"/>
  <c r="T236" i="4"/>
  <c r="V236" i="4" s="1"/>
  <c r="T237" i="4"/>
  <c r="V237" i="4" s="1"/>
  <c r="T238" i="4"/>
  <c r="V238" i="4" s="1"/>
  <c r="T239" i="4"/>
  <c r="T240" i="4"/>
  <c r="T241" i="4"/>
  <c r="T242" i="4"/>
  <c r="T243" i="4"/>
  <c r="T244" i="4"/>
  <c r="T245" i="4"/>
  <c r="T246" i="4"/>
  <c r="T247" i="4"/>
  <c r="V247" i="4" s="1"/>
  <c r="T248" i="4"/>
  <c r="V248" i="4" s="1"/>
  <c r="T249" i="4"/>
  <c r="V249" i="4" s="1"/>
  <c r="T250" i="4"/>
  <c r="V250" i="4" s="1"/>
  <c r="T251" i="4"/>
  <c r="T252" i="4"/>
  <c r="T268" i="4"/>
  <c r="T253" i="4"/>
  <c r="T255" i="4"/>
  <c r="T256" i="4"/>
  <c r="T257" i="4"/>
  <c r="T254" i="4"/>
  <c r="T258" i="4"/>
  <c r="T259" i="4"/>
  <c r="V259" i="4" s="1"/>
  <c r="T261" i="4"/>
  <c r="V261" i="4" s="1"/>
  <c r="T262" i="4"/>
  <c r="V262" i="4" s="1"/>
  <c r="T263" i="4"/>
  <c r="T265" i="4"/>
  <c r="T264" i="4"/>
  <c r="T266" i="4"/>
  <c r="T267" i="4"/>
  <c r="T269" i="4"/>
  <c r="T270" i="4"/>
  <c r="T271" i="4"/>
  <c r="T272" i="4"/>
  <c r="V272" i="4" s="1"/>
  <c r="T273" i="4"/>
  <c r="V273" i="4" s="1"/>
  <c r="T274" i="4"/>
  <c r="V274" i="4" s="1"/>
  <c r="T275" i="4"/>
  <c r="V275" i="4" s="1"/>
  <c r="T276" i="4"/>
  <c r="T277" i="4"/>
  <c r="T278" i="4"/>
  <c r="T279" i="4"/>
  <c r="T280" i="4"/>
  <c r="T281" i="4"/>
  <c r="T282" i="4"/>
  <c r="T283" i="4"/>
  <c r="T284" i="4"/>
  <c r="V284" i="4" s="1"/>
  <c r="T285" i="4"/>
  <c r="V285" i="4" s="1"/>
  <c r="T286" i="4"/>
  <c r="V286" i="4" s="1"/>
  <c r="T287" i="4"/>
  <c r="V287" i="4" s="1"/>
  <c r="T288" i="4"/>
  <c r="T289" i="4"/>
  <c r="T290" i="4"/>
  <c r="T291" i="4"/>
  <c r="T292" i="4"/>
  <c r="T293" i="4"/>
  <c r="T294" i="4"/>
  <c r="T295" i="4"/>
  <c r="T296" i="4"/>
  <c r="T297" i="4"/>
  <c r="V297" i="4" s="1"/>
  <c r="T298" i="4"/>
  <c r="V298" i="4" s="1"/>
  <c r="T299" i="4"/>
  <c r="V299" i="4" s="1"/>
  <c r="T300" i="4"/>
  <c r="V300" i="4" s="1"/>
  <c r="T301" i="4"/>
  <c r="T302" i="4"/>
  <c r="T303" i="4"/>
  <c r="T304" i="4"/>
  <c r="T305" i="4"/>
  <c r="T306" i="4"/>
  <c r="T307" i="4"/>
  <c r="T308" i="4"/>
  <c r="T309" i="4"/>
  <c r="V309" i="4" s="1"/>
  <c r="T310" i="4"/>
  <c r="V310" i="4" s="1"/>
  <c r="T311" i="4"/>
  <c r="V311" i="4" s="1"/>
  <c r="T312" i="4"/>
  <c r="V312" i="4" s="1"/>
  <c r="T313" i="4"/>
  <c r="T314" i="4"/>
  <c r="T315" i="4"/>
  <c r="T316" i="4"/>
  <c r="T317" i="4"/>
  <c r="T318" i="4"/>
  <c r="T319" i="4"/>
  <c r="T320" i="4"/>
  <c r="T321" i="4"/>
  <c r="V321" i="4" s="1"/>
  <c r="T323" i="4"/>
  <c r="V323" i="4" s="1"/>
  <c r="T322" i="4"/>
  <c r="V322" i="4" s="1"/>
  <c r="T324" i="4"/>
  <c r="V324" i="4" s="1"/>
  <c r="T325" i="4"/>
  <c r="T326" i="4"/>
  <c r="T327" i="4"/>
  <c r="T328" i="4"/>
  <c r="T329" i="4"/>
  <c r="T330" i="4"/>
  <c r="T331" i="4"/>
  <c r="T332" i="4"/>
  <c r="T333" i="4"/>
  <c r="V333" i="4" s="1"/>
  <c r="T334" i="4"/>
  <c r="V334" i="4" s="1"/>
  <c r="T335" i="4"/>
  <c r="V335" i="4" s="1"/>
  <c r="T336" i="4"/>
  <c r="V336" i="4" s="1"/>
  <c r="T337" i="4"/>
  <c r="T338" i="4"/>
  <c r="T340" i="4"/>
  <c r="T339" i="4"/>
  <c r="T341" i="4"/>
  <c r="T342" i="4"/>
  <c r="T343" i="4"/>
  <c r="V343" i="4" s="1"/>
  <c r="T345" i="4"/>
  <c r="V345" i="4" s="1"/>
  <c r="T344" i="4"/>
  <c r="V344" i="4" s="1"/>
  <c r="T346" i="4"/>
  <c r="V346" i="4" s="1"/>
  <c r="T347" i="4"/>
  <c r="V347" i="4" s="1"/>
  <c r="T348" i="4"/>
  <c r="V348" i="4" s="1"/>
  <c r="T349" i="4"/>
  <c r="V349" i="4" s="1"/>
  <c r="T350" i="4"/>
  <c r="V350" i="4" s="1"/>
  <c r="T351" i="4"/>
  <c r="V351" i="4" s="1"/>
  <c r="T352" i="4"/>
  <c r="V352" i="4" s="1"/>
  <c r="T354" i="4"/>
  <c r="V354" i="4" s="1"/>
  <c r="T353" i="4"/>
  <c r="V353" i="4" s="1"/>
  <c r="T355" i="4"/>
  <c r="V355" i="4" s="1"/>
  <c r="T356" i="4"/>
  <c r="V356" i="4" s="1"/>
  <c r="T357" i="4"/>
  <c r="V357" i="4" s="1"/>
  <c r="T358" i="4"/>
  <c r="V358" i="4" s="1"/>
  <c r="T3" i="4"/>
  <c r="M6" i="12"/>
  <c r="M18" i="12"/>
  <c r="M51" i="12"/>
  <c r="M19" i="12"/>
  <c r="M40" i="12"/>
  <c r="M22" i="12"/>
  <c r="M30" i="12"/>
  <c r="M14" i="12"/>
  <c r="M59" i="12"/>
  <c r="M2" i="12"/>
  <c r="M57" i="12"/>
  <c r="M15" i="12"/>
  <c r="M21" i="12"/>
  <c r="M36" i="12"/>
  <c r="M34" i="12"/>
  <c r="M13" i="12"/>
  <c r="M48" i="12"/>
  <c r="M52" i="12"/>
  <c r="M11" i="12"/>
  <c r="M58" i="12"/>
  <c r="M26" i="12"/>
  <c r="M60" i="12"/>
  <c r="M49" i="12"/>
  <c r="M17" i="12"/>
  <c r="M56" i="12"/>
  <c r="M45" i="12"/>
  <c r="M38" i="12"/>
  <c r="M31" i="12"/>
  <c r="M24" i="12"/>
  <c r="M28" i="12"/>
  <c r="M39" i="12"/>
  <c r="M61" i="12"/>
  <c r="M20" i="12"/>
  <c r="M37" i="12"/>
  <c r="M4" i="12"/>
  <c r="M9" i="12"/>
  <c r="M10" i="12"/>
  <c r="M54" i="12"/>
  <c r="M12" i="12"/>
  <c r="M27" i="12"/>
  <c r="M55" i="12"/>
  <c r="L35" i="12"/>
  <c r="K35" i="12"/>
  <c r="J35" i="12"/>
  <c r="I35" i="12"/>
  <c r="L33" i="12"/>
  <c r="K33" i="12"/>
  <c r="J33" i="12"/>
  <c r="I33" i="12"/>
  <c r="L62" i="12"/>
  <c r="K62" i="12"/>
  <c r="J62" i="12"/>
  <c r="I62" i="12"/>
  <c r="L53" i="12"/>
  <c r="K53" i="12"/>
  <c r="J53" i="12"/>
  <c r="I53" i="12"/>
  <c r="L16" i="12"/>
  <c r="K16" i="12"/>
  <c r="J16" i="12"/>
  <c r="I16" i="12"/>
  <c r="M46" i="12"/>
  <c r="M43" i="12"/>
  <c r="M5" i="12"/>
  <c r="M63" i="12"/>
  <c r="M50" i="12"/>
  <c r="M44" i="12"/>
  <c r="M42" i="12"/>
  <c r="M32" i="12"/>
  <c r="M29" i="12"/>
  <c r="M23" i="12"/>
  <c r="M3" i="12"/>
  <c r="M41" i="12"/>
  <c r="M25" i="12"/>
  <c r="M7" i="12"/>
  <c r="M47" i="12"/>
  <c r="M8" i="12"/>
  <c r="M16" i="12" l="1"/>
  <c r="M62" i="12"/>
  <c r="M35" i="12"/>
  <c r="V32" i="4"/>
  <c r="V20" i="4"/>
  <c r="V8" i="4"/>
  <c r="V44" i="4"/>
  <c r="V337" i="4"/>
  <c r="V325" i="4"/>
  <c r="V313" i="4"/>
  <c r="V301" i="4"/>
  <c r="V227" i="4"/>
  <c r="V214" i="4"/>
  <c r="V201" i="4"/>
  <c r="V190" i="4"/>
  <c r="V171" i="4"/>
  <c r="V167" i="4"/>
  <c r="V130" i="4"/>
  <c r="V105" i="4"/>
  <c r="V93" i="4"/>
  <c r="V81" i="4"/>
  <c r="V288" i="4"/>
  <c r="V276" i="4"/>
  <c r="V263" i="4"/>
  <c r="V251" i="4"/>
  <c r="V239" i="4"/>
  <c r="V117" i="4"/>
  <c r="V49" i="4"/>
  <c r="V74" i="4"/>
  <c r="V36" i="4"/>
  <c r="V24" i="4"/>
  <c r="V12" i="4"/>
  <c r="V35" i="4"/>
  <c r="V23" i="4"/>
  <c r="V11" i="4"/>
  <c r="V37" i="4"/>
  <c r="V25" i="4"/>
  <c r="V13" i="4"/>
  <c r="V270" i="4"/>
  <c r="V245" i="4"/>
  <c r="V194" i="4"/>
  <c r="V135" i="4"/>
  <c r="V244" i="4"/>
  <c r="V110" i="4"/>
  <c r="V339" i="4"/>
  <c r="V328" i="4"/>
  <c r="V316" i="4"/>
  <c r="V304" i="4"/>
  <c r="V292" i="4"/>
  <c r="V280" i="4"/>
  <c r="V267" i="4"/>
  <c r="V255" i="4"/>
  <c r="V243" i="4"/>
  <c r="V230" i="4"/>
  <c r="V217" i="4"/>
  <c r="V204" i="4"/>
  <c r="V193" i="4"/>
  <c r="V182" i="4"/>
  <c r="V170" i="4"/>
  <c r="V133" i="4"/>
  <c r="V121" i="4"/>
  <c r="V109" i="4"/>
  <c r="V96" i="4"/>
  <c r="V84" i="4"/>
  <c r="V318" i="4"/>
  <c r="V257" i="4"/>
  <c r="V207" i="4"/>
  <c r="V122" i="4"/>
  <c r="V279" i="4"/>
  <c r="V266" i="4"/>
  <c r="V242" i="4"/>
  <c r="V120" i="4"/>
  <c r="V108" i="4"/>
  <c r="V282" i="4"/>
  <c r="V219" i="4"/>
  <c r="V86" i="4"/>
  <c r="V269" i="4"/>
  <c r="V294" i="4"/>
  <c r="V232" i="4"/>
  <c r="V183" i="4"/>
  <c r="V111" i="4"/>
  <c r="V281" i="4"/>
  <c r="V330" i="4"/>
  <c r="V98" i="4"/>
  <c r="V306" i="4"/>
  <c r="V173" i="4"/>
  <c r="V320" i="4"/>
  <c r="V209" i="4"/>
  <c r="V197" i="4"/>
  <c r="V185" i="4"/>
  <c r="V175" i="4"/>
  <c r="V125" i="4"/>
  <c r="V100" i="4"/>
  <c r="V88" i="4"/>
  <c r="V76" i="4"/>
  <c r="V331" i="4"/>
  <c r="V319" i="4"/>
  <c r="V307" i="4"/>
  <c r="V295" i="4"/>
  <c r="V283" i="4"/>
  <c r="V271" i="4"/>
  <c r="V254" i="4"/>
  <c r="V246" i="4"/>
  <c r="V233" i="4"/>
  <c r="V220" i="4"/>
  <c r="V208" i="4"/>
  <c r="V195" i="4"/>
  <c r="V184" i="4"/>
  <c r="V174" i="4"/>
  <c r="V124" i="4"/>
  <c r="V112" i="4"/>
  <c r="V99" i="4"/>
  <c r="V87" i="4"/>
  <c r="V332" i="4"/>
  <c r="V296" i="4"/>
  <c r="V258" i="4"/>
  <c r="V221" i="4"/>
  <c r="V34" i="4"/>
  <c r="V308" i="4"/>
  <c r="V22" i="4"/>
  <c r="V10" i="4"/>
  <c r="V341" i="4"/>
  <c r="V329" i="4"/>
  <c r="V317" i="4"/>
  <c r="V305" i="4"/>
  <c r="V293" i="4"/>
  <c r="V256" i="4"/>
  <c r="V231" i="4"/>
  <c r="V218" i="4"/>
  <c r="V205" i="4"/>
  <c r="V222" i="4"/>
  <c r="V206" i="4"/>
  <c r="V172" i="4"/>
  <c r="V134" i="4"/>
  <c r="V97" i="4"/>
  <c r="V85" i="4"/>
  <c r="V58" i="4"/>
  <c r="V46" i="4"/>
  <c r="V33" i="4"/>
  <c r="V21" i="4"/>
  <c r="V9" i="4"/>
  <c r="V340" i="4"/>
  <c r="V303" i="4"/>
  <c r="V203" i="4"/>
  <c r="V169" i="4"/>
  <c r="V132" i="4"/>
  <c r="V338" i="4"/>
  <c r="V326" i="4"/>
  <c r="V314" i="4"/>
  <c r="V302" i="4"/>
  <c r="V290" i="4"/>
  <c r="V278" i="4"/>
  <c r="V264" i="4"/>
  <c r="V268" i="4"/>
  <c r="V241" i="4"/>
  <c r="V228" i="4"/>
  <c r="V215" i="4"/>
  <c r="V202" i="4"/>
  <c r="V191" i="4"/>
  <c r="V180" i="4"/>
  <c r="V168" i="4"/>
  <c r="V131" i="4"/>
  <c r="V119" i="4"/>
  <c r="V106" i="4"/>
  <c r="V94" i="4"/>
  <c r="V82" i="4"/>
  <c r="V291" i="4"/>
  <c r="V229" i="4"/>
  <c r="V277" i="4"/>
  <c r="V252" i="4"/>
  <c r="V240" i="4"/>
  <c r="V118" i="4"/>
  <c r="V315" i="4"/>
  <c r="V216" i="4"/>
  <c r="V192" i="4"/>
  <c r="V95" i="4"/>
  <c r="V83" i="4"/>
  <c r="V265" i="4"/>
  <c r="V327" i="4"/>
  <c r="V181" i="4"/>
  <c r="V39" i="4"/>
  <c r="V27" i="4"/>
  <c r="V15" i="4"/>
  <c r="V38" i="4"/>
  <c r="V26" i="4"/>
  <c r="V14" i="4"/>
  <c r="M33" i="12"/>
  <c r="M53" i="12"/>
  <c r="R107" i="4"/>
  <c r="P107" i="4"/>
  <c r="N107" i="4"/>
  <c r="L107" i="4"/>
  <c r="R75" i="4"/>
  <c r="P75" i="4"/>
  <c r="N75" i="4"/>
  <c r="L75" i="4"/>
  <c r="R166" i="4"/>
  <c r="P166" i="4"/>
  <c r="N166" i="4"/>
  <c r="L166" i="4"/>
  <c r="R234" i="4"/>
  <c r="P234" i="4"/>
  <c r="N234" i="4"/>
  <c r="L234" i="4"/>
  <c r="R40" i="4"/>
  <c r="P40" i="4"/>
  <c r="N40" i="4"/>
  <c r="L40" i="4"/>
  <c r="R47" i="4"/>
  <c r="P47" i="4"/>
  <c r="N47" i="4"/>
  <c r="L47" i="4"/>
  <c r="S136" i="4"/>
  <c r="Q136" i="4"/>
  <c r="O136" i="4"/>
  <c r="M136" i="4"/>
  <c r="S253" i="4"/>
  <c r="Q253" i="4"/>
  <c r="O253" i="4"/>
  <c r="M253" i="4"/>
  <c r="S56" i="4"/>
  <c r="Q56" i="4"/>
  <c r="O56" i="4"/>
  <c r="M56" i="4"/>
  <c r="S123" i="4"/>
  <c r="Q123" i="4"/>
  <c r="O123" i="4"/>
  <c r="M123" i="4"/>
  <c r="S342" i="4"/>
  <c r="Q342" i="4"/>
  <c r="O342" i="4"/>
  <c r="M342" i="4"/>
  <c r="L61" i="4"/>
  <c r="P260" i="4"/>
  <c r="N260" i="4"/>
  <c r="L260" i="4"/>
  <c r="V3" i="4"/>
  <c r="S289" i="4"/>
  <c r="Q289" i="4"/>
  <c r="O289" i="4"/>
  <c r="M289" i="4"/>
  <c r="T260" i="4" l="1"/>
  <c r="V260" i="4" s="1"/>
  <c r="T61" i="4"/>
  <c r="V61" i="4" s="1"/>
  <c r="U289" i="4"/>
  <c r="V289" i="4" s="1"/>
  <c r="U342" i="4"/>
  <c r="V342" i="4" s="1"/>
  <c r="U123" i="4"/>
  <c r="V123" i="4" s="1"/>
  <c r="U56" i="4"/>
  <c r="V56" i="4" s="1"/>
  <c r="U253" i="4"/>
  <c r="V253" i="4" s="1"/>
  <c r="U136" i="4"/>
  <c r="V136" i="4" s="1"/>
  <c r="T47" i="4"/>
  <c r="V47" i="4" s="1"/>
  <c r="W32" i="4" s="1"/>
  <c r="T40" i="4"/>
  <c r="V40" i="4" s="1"/>
  <c r="W283" i="4" s="1"/>
  <c r="T234" i="4"/>
  <c r="V234" i="4" s="1"/>
  <c r="T166" i="4"/>
  <c r="V166" i="4" s="1"/>
  <c r="T75" i="4"/>
  <c r="V75" i="4" s="1"/>
  <c r="T107" i="4"/>
  <c r="V107" i="4" s="1"/>
  <c r="W56" i="4" l="1"/>
  <c r="W207" i="4"/>
  <c r="W130" i="4"/>
  <c r="W72" i="4"/>
  <c r="W232" i="4"/>
  <c r="W189" i="4"/>
  <c r="W73" i="4"/>
  <c r="W227" i="4"/>
  <c r="W290" i="4"/>
  <c r="W10" i="4"/>
  <c r="X10" i="4" s="1"/>
  <c r="W149" i="4"/>
  <c r="X149" i="4" s="1"/>
  <c r="W191" i="4"/>
  <c r="W281" i="4"/>
  <c r="X281" i="4" s="1"/>
  <c r="W287" i="4"/>
  <c r="W265" i="4"/>
  <c r="W53" i="4"/>
  <c r="W252" i="4"/>
  <c r="W237" i="4"/>
  <c r="W150" i="4"/>
  <c r="W157" i="4"/>
  <c r="W225" i="4"/>
  <c r="W137" i="4"/>
  <c r="W308" i="4"/>
  <c r="X308" i="4" s="1"/>
  <c r="W217" i="4"/>
  <c r="X217" i="4" s="1"/>
  <c r="W355" i="4"/>
  <c r="X355" i="4" s="1"/>
  <c r="Y355" i="4" s="1"/>
  <c r="W4" i="4"/>
  <c r="W331" i="4"/>
  <c r="W43" i="4"/>
  <c r="W38" i="4"/>
  <c r="W255" i="4"/>
  <c r="W134" i="4"/>
  <c r="W117" i="4"/>
  <c r="W122" i="4"/>
  <c r="W88" i="4"/>
  <c r="X88" i="4" s="1"/>
  <c r="W302" i="4"/>
  <c r="X302" i="4" s="1"/>
  <c r="W140" i="4"/>
  <c r="X140" i="4" s="1"/>
  <c r="W28" i="4"/>
  <c r="W20" i="4"/>
  <c r="W248" i="4"/>
  <c r="W46" i="4"/>
  <c r="W125" i="4"/>
  <c r="W251" i="4"/>
  <c r="W263" i="4"/>
  <c r="W284" i="4"/>
  <c r="W342" i="4"/>
  <c r="W108" i="4"/>
  <c r="X108" i="4" s="1"/>
  <c r="W89" i="4"/>
  <c r="X89" i="4" s="1"/>
  <c r="W289" i="4"/>
  <c r="X289" i="4" s="1"/>
  <c r="W22" i="4"/>
  <c r="X22" i="4" s="1"/>
  <c r="W213" i="4"/>
  <c r="W264" i="4"/>
  <c r="W60" i="4"/>
  <c r="W250" i="4"/>
  <c r="W147" i="4"/>
  <c r="X147" i="4" s="1"/>
  <c r="W105" i="4"/>
  <c r="W159" i="4"/>
  <c r="W175" i="4"/>
  <c r="W44" i="4"/>
  <c r="X44" i="4" s="1"/>
  <c r="W79" i="4"/>
  <c r="X79" i="4" s="1"/>
  <c r="W258" i="4"/>
  <c r="X258" i="4" s="1"/>
  <c r="W183" i="4"/>
  <c r="X183" i="4" s="1"/>
  <c r="Y183" i="4" s="1"/>
  <c r="W120" i="4"/>
  <c r="W208" i="4"/>
  <c r="W199" i="4"/>
  <c r="W184" i="4"/>
  <c r="W291" i="4"/>
  <c r="W100" i="4"/>
  <c r="W152" i="4"/>
  <c r="W297" i="4"/>
  <c r="W328" i="4"/>
  <c r="W242" i="4"/>
  <c r="W295" i="4"/>
  <c r="X295" i="4" s="1"/>
  <c r="Y295" i="4" s="1"/>
  <c r="W155" i="4"/>
  <c r="X155" i="4" s="1"/>
  <c r="Y155" i="4" s="1"/>
  <c r="W298" i="4"/>
  <c r="X298" i="4" s="1"/>
  <c r="W347" i="4"/>
  <c r="W338" i="4"/>
  <c r="W123" i="4"/>
  <c r="W102" i="4"/>
  <c r="X102" i="4" s="1"/>
  <c r="W300" i="4"/>
  <c r="W187" i="4"/>
  <c r="W86" i="4"/>
  <c r="W203" i="4"/>
  <c r="W257" i="4"/>
  <c r="X257" i="4" s="1"/>
  <c r="W115" i="4"/>
  <c r="W107" i="4"/>
  <c r="W61" i="4"/>
  <c r="W231" i="4"/>
  <c r="W67" i="4"/>
  <c r="W119" i="4"/>
  <c r="W201" i="4"/>
  <c r="X201" i="4" s="1"/>
  <c r="W261" i="4"/>
  <c r="W25" i="4"/>
  <c r="W316" i="4"/>
  <c r="W95" i="4"/>
  <c r="W24" i="4"/>
  <c r="X24" i="4" s="1"/>
  <c r="W241" i="4"/>
  <c r="X241" i="4" s="1"/>
  <c r="W90" i="4"/>
  <c r="W305" i="4"/>
  <c r="X305" i="4" s="1"/>
  <c r="W329" i="4"/>
  <c r="W312" i="4"/>
  <c r="W62" i="4"/>
  <c r="W65" i="4"/>
  <c r="X65" i="4" s="1"/>
  <c r="W35" i="4"/>
  <c r="W190" i="4"/>
  <c r="W307" i="4"/>
  <c r="W163" i="4"/>
  <c r="X163" i="4" s="1"/>
  <c r="W303" i="4"/>
  <c r="X303" i="4" s="1"/>
  <c r="W311" i="4"/>
  <c r="W168" i="4"/>
  <c r="X168" i="4" s="1"/>
  <c r="W148" i="4"/>
  <c r="X148" i="4" s="1"/>
  <c r="W6" i="4"/>
  <c r="W151" i="4"/>
  <c r="W332" i="4"/>
  <c r="W98" i="4"/>
  <c r="W230" i="4"/>
  <c r="W81" i="4"/>
  <c r="W292" i="4"/>
  <c r="W94" i="4"/>
  <c r="W50" i="4"/>
  <c r="X50" i="4" s="1"/>
  <c r="W356" i="4"/>
  <c r="X356" i="4" s="1"/>
  <c r="Y356" i="4" s="1"/>
  <c r="W326" i="4"/>
  <c r="Y326" i="4" s="1"/>
  <c r="W164" i="4"/>
  <c r="X164" i="4" s="1"/>
  <c r="Y164" i="4" s="1"/>
  <c r="W144" i="4"/>
  <c r="W323" i="4"/>
  <c r="W19" i="4"/>
  <c r="X19" i="4" s="1"/>
  <c r="W247" i="4"/>
  <c r="W222" i="4"/>
  <c r="W349" i="4"/>
  <c r="W169" i="4"/>
  <c r="W195" i="4"/>
  <c r="W165" i="4"/>
  <c r="W166" i="4"/>
  <c r="X166" i="4" s="1"/>
  <c r="W344" i="4"/>
  <c r="W280" i="4"/>
  <c r="X280" i="4" s="1"/>
  <c r="W262" i="4"/>
  <c r="W277" i="4"/>
  <c r="W49" i="4"/>
  <c r="Y49" i="4" s="1"/>
  <c r="W158" i="4"/>
  <c r="W354" i="4"/>
  <c r="W336" i="4"/>
  <c r="W343" i="4"/>
  <c r="W87" i="4"/>
  <c r="W170" i="4"/>
  <c r="X170" i="4" s="1"/>
  <c r="W21" i="4"/>
  <c r="X21" i="4" s="1"/>
  <c r="W54" i="4"/>
  <c r="W33" i="4"/>
  <c r="W16" i="4"/>
  <c r="W272" i="4"/>
  <c r="W358" i="4"/>
  <c r="W357" i="4"/>
  <c r="Y357" i="4" s="1"/>
  <c r="W109" i="4"/>
  <c r="W318" i="4"/>
  <c r="W113" i="4"/>
  <c r="W180" i="4"/>
  <c r="X180" i="4" s="1"/>
  <c r="Y180" i="4" s="1"/>
  <c r="W15" i="4"/>
  <c r="X15" i="4" s="1"/>
  <c r="W17" i="4"/>
  <c r="W270" i="4"/>
  <c r="X270" i="4" s="1"/>
  <c r="W154" i="4"/>
  <c r="X154" i="4" s="1"/>
  <c r="Y154" i="4" s="1"/>
  <c r="W76" i="4"/>
  <c r="W219" i="4"/>
  <c r="W296" i="4"/>
  <c r="W116" i="4"/>
  <c r="X116" i="4" s="1"/>
  <c r="W205" i="4"/>
  <c r="W235" i="4"/>
  <c r="W37" i="4"/>
  <c r="W240" i="4"/>
  <c r="W7" i="4"/>
  <c r="W114" i="4"/>
  <c r="W121" i="4"/>
  <c r="X121" i="4" s="1"/>
  <c r="W181" i="4"/>
  <c r="X181" i="4" s="1"/>
  <c r="Y181" i="4" s="1"/>
  <c r="W317" i="4"/>
  <c r="W135" i="4"/>
  <c r="W353" i="4"/>
  <c r="W276" i="4"/>
  <c r="X276" i="4" s="1"/>
  <c r="W269" i="4"/>
  <c r="Y269" i="4" s="1"/>
  <c r="W319" i="4"/>
  <c r="W30" i="4"/>
  <c r="W177" i="4"/>
  <c r="X177" i="4" s="1"/>
  <c r="W325" i="4"/>
  <c r="X325" i="4" s="1"/>
  <c r="Y325" i="4" s="1"/>
  <c r="W162" i="4"/>
  <c r="W346" i="4"/>
  <c r="X346" i="4" s="1"/>
  <c r="W39" i="4"/>
  <c r="X39" i="4" s="1"/>
  <c r="W27" i="4"/>
  <c r="W101" i="4"/>
  <c r="W266" i="4"/>
  <c r="X266" i="4" s="1"/>
  <c r="Y266" i="4" s="1"/>
  <c r="W84" i="4"/>
  <c r="X84" i="4" s="1"/>
  <c r="Y84" i="4" s="1"/>
  <c r="W233" i="4"/>
  <c r="W221" i="4"/>
  <c r="W132" i="4"/>
  <c r="W55" i="4"/>
  <c r="X55" i="4" s="1"/>
  <c r="W40" i="4"/>
  <c r="Y40" i="4" s="1"/>
  <c r="W333" i="4"/>
  <c r="X333" i="4" s="1"/>
  <c r="W282" i="4"/>
  <c r="X282" i="4" s="1"/>
  <c r="Y282" i="4" s="1"/>
  <c r="W279" i="4"/>
  <c r="X279" i="4" s="1"/>
  <c r="W198" i="4"/>
  <c r="W304" i="4"/>
  <c r="W142" i="4"/>
  <c r="W139" i="4"/>
  <c r="X139" i="4" s="1"/>
  <c r="W309" i="4"/>
  <c r="W286" i="4"/>
  <c r="W188" i="4"/>
  <c r="W48" i="4"/>
  <c r="X48" i="4" s="1"/>
  <c r="W337" i="4"/>
  <c r="X337" i="4" s="1"/>
  <c r="W128" i="4"/>
  <c r="W51" i="4"/>
  <c r="X51" i="4" s="1"/>
  <c r="W244" i="4"/>
  <c r="W321" i="4"/>
  <c r="W275" i="4"/>
  <c r="W245" i="4"/>
  <c r="W143" i="4"/>
  <c r="X143" i="4" s="1"/>
  <c r="W133" i="4"/>
  <c r="W126" i="4"/>
  <c r="W226" i="4"/>
  <c r="X226" i="4" s="1"/>
  <c r="Y226" i="4" s="1"/>
  <c r="W273" i="4"/>
  <c r="X273" i="4" s="1"/>
  <c r="W80" i="4"/>
  <c r="X80" i="4" s="1"/>
  <c r="W63" i="4"/>
  <c r="X63" i="4" s="1"/>
  <c r="W278" i="4"/>
  <c r="W274" i="4"/>
  <c r="W352" i="4"/>
  <c r="X352" i="4" s="1"/>
  <c r="Y352" i="4" s="1"/>
  <c r="W112" i="4"/>
  <c r="W83" i="4"/>
  <c r="W58" i="4"/>
  <c r="W41" i="4"/>
  <c r="W9" i="4"/>
  <c r="W111" i="4"/>
  <c r="W267" i="4"/>
  <c r="X267" i="4" s="1"/>
  <c r="Y267" i="4" s="1"/>
  <c r="W69" i="4"/>
  <c r="X69" i="4" s="1"/>
  <c r="W161" i="4"/>
  <c r="X161" i="4" s="1"/>
  <c r="W31" i="4"/>
  <c r="X31" i="4" s="1"/>
  <c r="W212" i="4"/>
  <c r="W172" i="4"/>
  <c r="X172" i="4" s="1"/>
  <c r="W45" i="4"/>
  <c r="W293" i="4"/>
  <c r="X293" i="4" s="1"/>
  <c r="W129" i="4"/>
  <c r="W236" i="4"/>
  <c r="W174" i="4"/>
  <c r="W229" i="4"/>
  <c r="W26" i="4"/>
  <c r="W104" i="4"/>
  <c r="W294" i="4"/>
  <c r="W315" i="4"/>
  <c r="X315" i="4" s="1"/>
  <c r="Y315" i="4" s="1"/>
  <c r="W97" i="4"/>
  <c r="X97" i="4" s="1"/>
  <c r="W249" i="4"/>
  <c r="X249" i="4" s="1"/>
  <c r="W13" i="4"/>
  <c r="W204" i="4"/>
  <c r="X204" i="4" s="1"/>
  <c r="W243" i="4"/>
  <c r="X243" i="4" s="1"/>
  <c r="W75" i="4"/>
  <c r="W197" i="4"/>
  <c r="W34" i="4"/>
  <c r="X34" i="4" s="1"/>
  <c r="W42" i="4"/>
  <c r="X42" i="4" s="1"/>
  <c r="Y42" i="4" s="1"/>
  <c r="W209" i="4"/>
  <c r="X209" i="4" s="1"/>
  <c r="Y209" i="4" s="1"/>
  <c r="W47" i="4"/>
  <c r="X47" i="4" s="1"/>
  <c r="W271" i="4"/>
  <c r="X271" i="4" s="1"/>
  <c r="W131" i="4"/>
  <c r="X131" i="4" s="1"/>
  <c r="W127" i="4"/>
  <c r="W216" i="4"/>
  <c r="W138" i="4"/>
  <c r="X138" i="4" s="1"/>
  <c r="W186" i="4"/>
  <c r="X186" i="4" s="1"/>
  <c r="W193" i="4"/>
  <c r="X193" i="4" s="1"/>
  <c r="W327" i="4"/>
  <c r="W8" i="4"/>
  <c r="W345" i="4"/>
  <c r="X345" i="4" s="1"/>
  <c r="W156" i="4"/>
  <c r="Y156" i="4" s="1"/>
  <c r="W214" i="4"/>
  <c r="X214" i="4" s="1"/>
  <c r="W12" i="4"/>
  <c r="X12" i="4" s="1"/>
  <c r="W228" i="4"/>
  <c r="X228" i="4" s="1"/>
  <c r="Y228" i="4" s="1"/>
  <c r="W66" i="4"/>
  <c r="W71" i="4"/>
  <c r="W351" i="4"/>
  <c r="X351" i="4" s="1"/>
  <c r="W146" i="4"/>
  <c r="X146" i="4" s="1"/>
  <c r="W210" i="4"/>
  <c r="X210" i="4" s="1"/>
  <c r="Y210" i="4" s="1"/>
  <c r="W314" i="4"/>
  <c r="W23" i="4"/>
  <c r="X23" i="4" s="1"/>
  <c r="W171" i="4"/>
  <c r="X171" i="4" s="1"/>
  <c r="W320" i="4"/>
  <c r="X320" i="4" s="1"/>
  <c r="W299" i="4"/>
  <c r="X299" i="4" s="1"/>
  <c r="W59" i="4"/>
  <c r="W313" i="4"/>
  <c r="X313" i="4" s="1"/>
  <c r="W93" i="4"/>
  <c r="X93" i="4" s="1"/>
  <c r="W106" i="4"/>
  <c r="W68" i="4"/>
  <c r="X68" i="4" s="1"/>
  <c r="W339" i="4"/>
  <c r="X339" i="4" s="1"/>
  <c r="W99" i="4"/>
  <c r="X99" i="4" s="1"/>
  <c r="W260" i="4"/>
  <c r="W192" i="4"/>
  <c r="X192" i="4" s="1"/>
  <c r="W206" i="4"/>
  <c r="X206" i="4" s="1"/>
  <c r="Y206" i="4" s="1"/>
  <c r="W234" i="4"/>
  <c r="X234" i="4" s="1"/>
  <c r="W254" i="4"/>
  <c r="X254" i="4" s="1"/>
  <c r="W124" i="4"/>
  <c r="X124" i="4" s="1"/>
  <c r="W348" i="4"/>
  <c r="X348" i="4" s="1"/>
  <c r="W220" i="4"/>
  <c r="X220" i="4" s="1"/>
  <c r="W82" i="4"/>
  <c r="X82" i="4" s="1"/>
  <c r="W224" i="4"/>
  <c r="W215" i="4"/>
  <c r="X215" i="4" s="1"/>
  <c r="Y215" i="4" s="1"/>
  <c r="W288" i="4"/>
  <c r="W334" i="4"/>
  <c r="W322" i="4"/>
  <c r="X322" i="4" s="1"/>
  <c r="W18" i="4"/>
  <c r="X18" i="4" s="1"/>
  <c r="Y18" i="4" s="1"/>
  <c r="W330" i="4"/>
  <c r="X330" i="4" s="1"/>
  <c r="Y330" i="4" s="1"/>
  <c r="W29" i="4"/>
  <c r="X29" i="4" s="1"/>
  <c r="W160" i="4"/>
  <c r="X160" i="4" s="1"/>
  <c r="W310" i="4"/>
  <c r="W256" i="4"/>
  <c r="W239" i="4"/>
  <c r="X239" i="4" s="1"/>
  <c r="W259" i="4"/>
  <c r="W246" i="4"/>
  <c r="W77" i="4"/>
  <c r="X77" i="4" s="1"/>
  <c r="W196" i="4"/>
  <c r="W103" i="4"/>
  <c r="W52" i="4"/>
  <c r="Y52" i="4" s="1"/>
  <c r="W85" i="4"/>
  <c r="X85" i="4" s="1"/>
  <c r="Y85" i="4" s="1"/>
  <c r="W211" i="4"/>
  <c r="X211" i="4" s="1"/>
  <c r="Y211" i="4" s="1"/>
  <c r="W350" i="4"/>
  <c r="X350" i="4" s="1"/>
  <c r="Y350" i="4" s="1"/>
  <c r="W306" i="4"/>
  <c r="X306" i="4" s="1"/>
  <c r="W118" i="4"/>
  <c r="W136" i="4"/>
  <c r="X136" i="4" s="1"/>
  <c r="W223" i="4"/>
  <c r="X223" i="4" s="1"/>
  <c r="W3" i="4"/>
  <c r="X3" i="4" s="1"/>
  <c r="W173" i="4"/>
  <c r="X173" i="4" s="1"/>
  <c r="Y173" i="4" s="1"/>
  <c r="W185" i="4"/>
  <c r="W70" i="4"/>
  <c r="X70" i="4" s="1"/>
  <c r="Y70" i="4" s="1"/>
  <c r="W238" i="4"/>
  <c r="W202" i="4"/>
  <c r="W194" i="4"/>
  <c r="X194" i="4" s="1"/>
  <c r="W324" i="4"/>
  <c r="W182" i="4"/>
  <c r="X182" i="4" s="1"/>
  <c r="Y182" i="4" s="1"/>
  <c r="W253" i="4"/>
  <c r="X253" i="4" s="1"/>
  <c r="W176" i="4"/>
  <c r="X176" i="4" s="1"/>
  <c r="W301" i="4"/>
  <c r="X301" i="4" s="1"/>
  <c r="W218" i="4"/>
  <c r="W200" i="4"/>
  <c r="X200" i="4" s="1"/>
  <c r="W64" i="4"/>
  <c r="W36" i="4"/>
  <c r="Y36" i="4" s="1"/>
  <c r="W268" i="4"/>
  <c r="Y268" i="4" s="1"/>
  <c r="W91" i="4"/>
  <c r="X91" i="4" s="1"/>
  <c r="W145" i="4"/>
  <c r="W341" i="4"/>
  <c r="X341" i="4" s="1"/>
  <c r="W179" i="4"/>
  <c r="X179" i="4" s="1"/>
  <c r="W153" i="4"/>
  <c r="X153" i="4" s="1"/>
  <c r="Y153" i="4" s="1"/>
  <c r="W74" i="4"/>
  <c r="X74" i="4" s="1"/>
  <c r="W96" i="4"/>
  <c r="X96" i="4" s="1"/>
  <c r="W78" i="4"/>
  <c r="W5" i="4"/>
  <c r="X5" i="4" s="1"/>
  <c r="W335" i="4"/>
  <c r="W340" i="4"/>
  <c r="W178" i="4"/>
  <c r="X178" i="4" s="1"/>
  <c r="Y178" i="4" s="1"/>
  <c r="W167" i="4"/>
  <c r="X167" i="4" s="1"/>
  <c r="Y167" i="4" s="1"/>
  <c r="W285" i="4"/>
  <c r="W57" i="4"/>
  <c r="X57" i="4" s="1"/>
  <c r="W11" i="4"/>
  <c r="X11" i="4" s="1"/>
  <c r="Y11" i="4" s="1"/>
  <c r="W14" i="4"/>
  <c r="Y14" i="4" s="1"/>
  <c r="W110" i="4"/>
  <c r="X110" i="4" s="1"/>
  <c r="W92" i="4"/>
  <c r="X92" i="4" s="1"/>
  <c r="W141" i="4"/>
  <c r="X141" i="4" s="1"/>
  <c r="X71" i="4"/>
  <c r="Y71" i="4" s="1"/>
  <c r="X216" i="4"/>
  <c r="X27" i="4"/>
  <c r="X314" i="4"/>
  <c r="Y314" i="4" s="1"/>
  <c r="Y262" i="4"/>
  <c r="Y297" i="4"/>
  <c r="X169" i="4"/>
  <c r="X187" i="4"/>
  <c r="Y37" i="4"/>
  <c r="X232" i="4"/>
  <c r="X221" i="4"/>
  <c r="Y221" i="4" s="1"/>
  <c r="X95" i="4"/>
  <c r="X311" i="4"/>
  <c r="X105" i="4"/>
  <c r="X190" i="4"/>
  <c r="X43" i="4"/>
  <c r="X256" i="4"/>
  <c r="Y256" i="4" s="1"/>
  <c r="X255" i="4"/>
  <c r="X4" i="4"/>
  <c r="X208" i="4"/>
  <c r="Y208" i="4" s="1"/>
  <c r="X115" i="4"/>
  <c r="X263" i="4"/>
  <c r="X66" i="4"/>
  <c r="X62" i="4"/>
  <c r="X188" i="4"/>
  <c r="Y73" i="4"/>
  <c r="X318" i="4"/>
  <c r="X300" i="4"/>
  <c r="X292" i="4"/>
  <c r="X317" i="4"/>
  <c r="X175" i="4"/>
  <c r="X185" i="4"/>
  <c r="X46" i="4"/>
  <c r="Y327" i="4"/>
  <c r="X41" i="4"/>
  <c r="X335" i="4"/>
  <c r="X236" i="4"/>
  <c r="X329" i="4"/>
  <c r="Y329" i="4" s="1"/>
  <c r="X174" i="4"/>
  <c r="X56" i="4"/>
  <c r="X72" i="4"/>
  <c r="X81" i="4"/>
  <c r="X106" i="4"/>
  <c r="X75" i="4"/>
  <c r="X30" i="4"/>
  <c r="X117" i="4"/>
  <c r="Y117" i="4" s="1"/>
  <c r="X227" i="4"/>
  <c r="X224" i="4"/>
  <c r="X252" i="4"/>
  <c r="Y252" i="4" s="1"/>
  <c r="X196" i="4"/>
  <c r="X184" i="4"/>
  <c r="Y184" i="4" s="1"/>
  <c r="X144" i="4"/>
  <c r="X38" i="4"/>
  <c r="X207" i="4"/>
  <c r="Y207" i="4" s="1"/>
  <c r="X235" i="4"/>
  <c r="X112" i="4"/>
  <c r="Y112" i="4" s="1"/>
  <c r="X342" i="4"/>
  <c r="X309" i="4"/>
  <c r="X17" i="4"/>
  <c r="X100" i="4"/>
  <c r="X134" i="4"/>
  <c r="Y134" i="4" s="1"/>
  <c r="X60" i="4"/>
  <c r="X199" i="4"/>
  <c r="X135" i="4"/>
  <c r="X33" i="4"/>
  <c r="X321" i="4"/>
  <c r="X67" i="4"/>
  <c r="X229" i="4"/>
  <c r="Y229" i="4" s="1"/>
  <c r="X312" i="4"/>
  <c r="X334" i="4"/>
  <c r="X336" i="4"/>
  <c r="X349" i="4"/>
  <c r="X86" i="4"/>
  <c r="X248" i="4"/>
  <c r="X101" i="4"/>
  <c r="X231" i="4"/>
  <c r="X197" i="4"/>
  <c r="X132" i="4"/>
  <c r="Y132" i="4" s="1"/>
  <c r="Y310" i="4"/>
  <c r="X250" i="4"/>
  <c r="X275" i="4"/>
  <c r="X205" i="4"/>
  <c r="Y261" i="4"/>
  <c r="X307" i="4"/>
  <c r="Y307" i="4" s="1"/>
  <c r="X158" i="4"/>
  <c r="X76" i="4"/>
  <c r="Y76" i="4" s="1"/>
  <c r="X316" i="4"/>
  <c r="X286" i="4"/>
  <c r="Y286" i="4" s="1"/>
  <c r="X53" i="4"/>
  <c r="X260" i="4"/>
  <c r="Y260" i="4" s="1"/>
  <c r="Y13" i="4"/>
  <c r="X328" i="4"/>
  <c r="Y328" i="4" s="1"/>
  <c r="X353" i="4"/>
  <c r="X109" i="4"/>
  <c r="X119" i="4"/>
  <c r="X150" i="4"/>
  <c r="X120" i="4"/>
  <c r="X45" i="4"/>
  <c r="X304" i="4"/>
  <c r="Y78" i="4"/>
  <c r="X219" i="4"/>
  <c r="Y219" i="4" s="1"/>
  <c r="X9" i="4"/>
  <c r="X212" i="4"/>
  <c r="Y212" i="4" s="1"/>
  <c r="X58" i="4"/>
  <c r="X191" i="4"/>
  <c r="X331" i="4"/>
  <c r="X237" i="4"/>
  <c r="X118" i="4"/>
  <c r="Y265" i="4"/>
  <c r="X111" i="4"/>
  <c r="Y111" i="4" s="1"/>
  <c r="X133" i="4"/>
  <c r="Y133" i="4" s="1"/>
  <c r="X230" i="4"/>
  <c r="Y113" i="4"/>
  <c r="X294" i="4"/>
  <c r="X338" i="4"/>
  <c r="X152" i="4"/>
  <c r="X123" i="4"/>
  <c r="X358" i="4"/>
  <c r="Y283" i="4"/>
  <c r="Y264" i="4"/>
  <c r="X332" i="4"/>
  <c r="Y332" i="4" s="1"/>
  <c r="Y284" i="4"/>
  <c r="X251" i="4"/>
  <c r="Y251" i="4" s="1"/>
  <c r="X16" i="4"/>
  <c r="X159" i="4"/>
  <c r="Y159" i="4" s="1"/>
  <c r="X157" i="4"/>
  <c r="X296" i="4"/>
  <c r="Y296" i="4" s="1"/>
  <c r="X73" i="4"/>
  <c r="Y105" i="4"/>
  <c r="Y141" i="4" l="1"/>
  <c r="X268" i="4"/>
  <c r="Y79" i="4"/>
  <c r="Y300" i="4"/>
  <c r="Y179" i="4"/>
  <c r="Y217" i="4"/>
  <c r="Y27" i="4"/>
  <c r="X90" i="4"/>
  <c r="Y90" i="4" s="1"/>
  <c r="X297" i="4"/>
  <c r="Y342" i="4"/>
  <c r="X130" i="4"/>
  <c r="Y130" i="4" s="1"/>
  <c r="X287" i="4"/>
  <c r="Y287" i="4" s="1"/>
  <c r="Y223" i="4"/>
  <c r="Y254" i="4"/>
  <c r="Y185" i="4"/>
  <c r="X290" i="4"/>
  <c r="Y290" i="4" s="1"/>
  <c r="Y50" i="4"/>
  <c r="Y311" i="4"/>
  <c r="X20" i="4"/>
  <c r="Y20" i="4" s="1"/>
  <c r="X145" i="4"/>
  <c r="Y145" i="4" s="1"/>
  <c r="Y320" i="4"/>
  <c r="Y30" i="4"/>
  <c r="Y72" i="4"/>
  <c r="Y331" i="4"/>
  <c r="Y31" i="4"/>
  <c r="Y346" i="4"/>
  <c r="X323" i="4"/>
  <c r="Y323" i="4" s="1"/>
  <c r="Y349" i="4"/>
  <c r="Y33" i="4"/>
  <c r="Y317" i="4"/>
  <c r="X37" i="4"/>
  <c r="X142" i="4"/>
  <c r="Y142" i="4" s="1"/>
  <c r="X324" i="4"/>
  <c r="Y324" i="4" s="1"/>
  <c r="Y92" i="4"/>
  <c r="Y24" i="4"/>
  <c r="Y118" i="4"/>
  <c r="Y15" i="4"/>
  <c r="Y16" i="4"/>
  <c r="X6" i="4"/>
  <c r="Y6" i="4" s="1"/>
  <c r="Y312" i="4"/>
  <c r="Y166" i="4"/>
  <c r="Y124" i="4"/>
  <c r="Y135" i="4"/>
  <c r="X326" i="4"/>
  <c r="X13" i="4"/>
  <c r="Y335" i="4"/>
  <c r="X278" i="4"/>
  <c r="Y278" i="4" s="1"/>
  <c r="Y188" i="4"/>
  <c r="Y29" i="4"/>
  <c r="Y192" i="4"/>
  <c r="Y44" i="4"/>
  <c r="X319" i="4"/>
  <c r="Y319" i="4" s="1"/>
  <c r="X114" i="4"/>
  <c r="Y114" i="4" s="1"/>
  <c r="X222" i="4"/>
  <c r="Y222" i="4" s="1"/>
  <c r="X347" i="4"/>
  <c r="Y347" i="4" s="1"/>
  <c r="X198" i="4"/>
  <c r="Y198" i="4" s="1"/>
  <c r="Y110" i="4"/>
  <c r="X213" i="4"/>
  <c r="Y213" i="4" s="1"/>
  <c r="X189" i="4"/>
  <c r="Y189" i="4" s="1"/>
  <c r="Y171" i="4"/>
  <c r="Y41" i="4"/>
  <c r="X126" i="4"/>
  <c r="Y126" i="4" s="1"/>
  <c r="Y237" i="4"/>
  <c r="Y337" i="4"/>
  <c r="Y136" i="4"/>
  <c r="Y235" i="4"/>
  <c r="Y115" i="4"/>
  <c r="Y216" i="4"/>
  <c r="Y53" i="4"/>
  <c r="X49" i="4"/>
  <c r="X14" i="4"/>
  <c r="Y39" i="4"/>
  <c r="Y248" i="4"/>
  <c r="X151" i="4"/>
  <c r="Y151" i="4" s="1"/>
  <c r="Y66" i="4"/>
  <c r="X262" i="4"/>
  <c r="Y86" i="4"/>
  <c r="Y10" i="4"/>
  <c r="Y139" i="4"/>
  <c r="Y318" i="4"/>
  <c r="Y93" i="4"/>
  <c r="X127" i="4"/>
  <c r="Y127" i="4" s="1"/>
  <c r="X26" i="4"/>
  <c r="Y26" i="4" s="1"/>
  <c r="Y351" i="4"/>
  <c r="Y168" i="4"/>
  <c r="Y322" i="4"/>
  <c r="Y187" i="4"/>
  <c r="X125" i="4"/>
  <c r="Y125" i="4" s="1"/>
  <c r="Y46" i="4"/>
  <c r="Y273" i="4"/>
  <c r="X162" i="4"/>
  <c r="Y162" i="4" s="1"/>
  <c r="Y227" i="4"/>
  <c r="Y131" i="4"/>
  <c r="Y308" i="4"/>
  <c r="X59" i="4"/>
  <c r="Y59" i="4" s="1"/>
  <c r="X28" i="4"/>
  <c r="Y28" i="4" s="1"/>
  <c r="Y5" i="4"/>
  <c r="Y194" i="4"/>
  <c r="Y231" i="4"/>
  <c r="Y82" i="4"/>
  <c r="Y255" i="4"/>
  <c r="X288" i="4"/>
  <c r="Y288" i="4" s="1"/>
  <c r="Y65" i="4"/>
  <c r="X61" i="4"/>
  <c r="Y61" i="4" s="1"/>
  <c r="Y348" i="4"/>
  <c r="X259" i="4"/>
  <c r="Y259" i="4" s="1"/>
  <c r="X272" i="4"/>
  <c r="Y272" i="4" s="1"/>
  <c r="Y191" i="4"/>
  <c r="X261" i="4"/>
  <c r="Y89" i="4"/>
  <c r="X52" i="4"/>
  <c r="Y197" i="4"/>
  <c r="Y305" i="4"/>
  <c r="Y239" i="4"/>
  <c r="X156" i="4"/>
  <c r="Y298" i="4"/>
  <c r="Y270" i="4"/>
  <c r="X129" i="4"/>
  <c r="Y129" i="4" s="1"/>
  <c r="X203" i="4"/>
  <c r="Y203" i="4" s="1"/>
  <c r="X113" i="4"/>
  <c r="Y119" i="4"/>
  <c r="Y341" i="4"/>
  <c r="X104" i="4"/>
  <c r="Y104" i="4" s="1"/>
  <c r="Y91" i="4"/>
  <c r="X240" i="4"/>
  <c r="Y240" i="4" s="1"/>
  <c r="X343" i="4"/>
  <c r="Y343" i="4" s="1"/>
  <c r="Y257" i="4"/>
  <c r="Y160" i="4"/>
  <c r="Y281" i="4"/>
  <c r="Y3" i="4"/>
  <c r="Y345" i="4"/>
  <c r="X128" i="4"/>
  <c r="Y128" i="4" s="1"/>
  <c r="X274" i="4"/>
  <c r="Y274" i="4" s="1"/>
  <c r="Y47" i="4"/>
  <c r="Y21" i="4"/>
  <c r="Y293" i="4"/>
  <c r="Y316" i="4"/>
  <c r="Y174" i="4"/>
  <c r="X87" i="4"/>
  <c r="Y87" i="4" s="1"/>
  <c r="Y220" i="4"/>
  <c r="Y276" i="4"/>
  <c r="Y43" i="4"/>
  <c r="Y170" i="4"/>
  <c r="Y321" i="4"/>
  <c r="X8" i="4"/>
  <c r="Y8" i="4" s="1"/>
  <c r="Y163" i="4"/>
  <c r="Y358" i="4"/>
  <c r="Y201" i="4"/>
  <c r="X357" i="4"/>
  <c r="X284" i="4"/>
  <c r="Y234" i="4"/>
  <c r="X7" i="4"/>
  <c r="Y7" i="4" s="1"/>
  <c r="X291" i="4"/>
  <c r="Y291" i="4" s="1"/>
  <c r="Y38" i="4"/>
  <c r="X25" i="4"/>
  <c r="Y25" i="4" s="1"/>
  <c r="Y4" i="4"/>
  <c r="Y88" i="4"/>
  <c r="Y205" i="4"/>
  <c r="Y80" i="4"/>
  <c r="X344" i="4"/>
  <c r="Y344" i="4" s="1"/>
  <c r="X277" i="4"/>
  <c r="Y277" i="4" s="1"/>
  <c r="X195" i="4"/>
  <c r="Y195" i="4" s="1"/>
  <c r="X265" i="4"/>
  <c r="X35" i="4"/>
  <c r="Y35" i="4" s="1"/>
  <c r="Y102" i="4"/>
  <c r="Y101" i="4"/>
  <c r="X36" i="4"/>
  <c r="X269" i="4"/>
  <c r="X245" i="4"/>
  <c r="Y245" i="4" s="1"/>
  <c r="Y45" i="4"/>
  <c r="X165" i="4"/>
  <c r="Y165" i="4" s="1"/>
  <c r="Y58" i="4"/>
  <c r="Y22" i="4"/>
  <c r="Y81" i="4"/>
  <c r="X238" i="4"/>
  <c r="Y238" i="4" s="1"/>
  <c r="Y186" i="4"/>
  <c r="Y196" i="4"/>
  <c r="Y200" i="4"/>
  <c r="Y204" i="4"/>
  <c r="Y99" i="4"/>
  <c r="X122" i="4"/>
  <c r="Y122" i="4" s="1"/>
  <c r="X107" i="4"/>
  <c r="Y107" i="4" s="1"/>
  <c r="Y161" i="4"/>
  <c r="X32" i="4"/>
  <c r="Y32" i="4" s="1"/>
  <c r="Y232" i="4"/>
  <c r="X94" i="4"/>
  <c r="Y94" i="4" s="1"/>
  <c r="X327" i="4"/>
  <c r="Y106" i="4"/>
  <c r="X264" i="4"/>
  <c r="Y172" i="4"/>
  <c r="Y199" i="4"/>
  <c r="Y279" i="4"/>
  <c r="Y95" i="4"/>
  <c r="Y169" i="4"/>
  <c r="Y190" i="4"/>
  <c r="Y294" i="4"/>
  <c r="Y17" i="4"/>
  <c r="Y51" i="4"/>
  <c r="Y152" i="4"/>
  <c r="Y193" i="4"/>
  <c r="Y241" i="4"/>
  <c r="Y120" i="4"/>
  <c r="Y149" i="4"/>
  <c r="Y292" i="4"/>
  <c r="Y224" i="4"/>
  <c r="Y306" i="4"/>
  <c r="Y301" i="4"/>
  <c r="Y338" i="4"/>
  <c r="Y96" i="4"/>
  <c r="Y146" i="4"/>
  <c r="Y48" i="4"/>
  <c r="Y148" i="4"/>
  <c r="Y63" i="4"/>
  <c r="Y55" i="4"/>
  <c r="Y100" i="4"/>
  <c r="Y250" i="4"/>
  <c r="Y309" i="4"/>
  <c r="Y313" i="4"/>
  <c r="Y353" i="4"/>
  <c r="Y121" i="4"/>
  <c r="Y147" i="4"/>
  <c r="Y68" i="4"/>
  <c r="X64" i="4"/>
  <c r="Y64" i="4" s="1"/>
  <c r="Y138" i="4"/>
  <c r="Y333" i="4"/>
  <c r="Y303" i="4"/>
  <c r="Y60" i="4"/>
  <c r="X246" i="4"/>
  <c r="Y246" i="4" s="1"/>
  <c r="Y263" i="4"/>
  <c r="Y176" i="4"/>
  <c r="X310" i="4"/>
  <c r="Y12" i="4"/>
  <c r="Y140" i="4"/>
  <c r="X225" i="4"/>
  <c r="Y225" i="4" s="1"/>
  <c r="Y23" i="4"/>
  <c r="Y249" i="4"/>
  <c r="X54" i="4"/>
  <c r="Y54" i="4" s="1"/>
  <c r="X242" i="4"/>
  <c r="Y242" i="4" s="1"/>
  <c r="Y214" i="4"/>
  <c r="X218" i="4"/>
  <c r="Y218" i="4" s="1"/>
  <c r="Y69" i="4"/>
  <c r="Y19" i="4"/>
  <c r="Y302" i="4"/>
  <c r="Y271" i="4"/>
  <c r="X40" i="4"/>
  <c r="Y177" i="4"/>
  <c r="Y56" i="4"/>
  <c r="X283" i="4"/>
  <c r="Y123" i="4"/>
  <c r="Y334" i="4"/>
  <c r="Y62" i="4"/>
  <c r="X354" i="4"/>
  <c r="Y354" i="4" s="1"/>
  <c r="X247" i="4"/>
  <c r="Y247" i="4" s="1"/>
  <c r="X233" i="4"/>
  <c r="Y233" i="4" s="1"/>
  <c r="X202" i="4"/>
  <c r="Y202" i="4" s="1"/>
  <c r="X98" i="4"/>
  <c r="Y98" i="4" s="1"/>
  <c r="Y280" i="4"/>
  <c r="X83" i="4"/>
  <c r="Y83" i="4" s="1"/>
  <c r="X285" i="4"/>
  <c r="Y285" i="4" s="1"/>
  <c r="X340" i="4"/>
  <c r="Y340" i="4" s="1"/>
  <c r="Y143" i="4"/>
  <c r="Y157" i="4"/>
  <c r="Y243" i="4"/>
  <c r="Y289" i="4"/>
  <c r="X78" i="4"/>
  <c r="Y150" i="4"/>
  <c r="Y77" i="4"/>
  <c r="Y109" i="4"/>
  <c r="X103" i="4"/>
  <c r="Y103" i="4" s="1"/>
  <c r="Y67" i="4"/>
  <c r="X244" i="4"/>
  <c r="Y244" i="4" s="1"/>
  <c r="X137" i="4"/>
  <c r="Y137" i="4" s="1"/>
  <c r="Y108" i="4"/>
  <c r="Y75" i="4"/>
  <c r="Y336" i="4"/>
  <c r="Y74" i="4"/>
  <c r="Y34" i="4"/>
  <c r="Y116" i="4"/>
  <c r="Y253" i="4"/>
  <c r="Y9" i="4"/>
  <c r="Y97" i="4"/>
  <c r="Y275" i="4"/>
  <c r="Y304" i="4"/>
  <c r="Y57" i="4"/>
  <c r="Y144" i="4"/>
  <c r="Y158" i="4"/>
  <c r="Y236" i="4"/>
  <c r="Y175" i="4"/>
  <c r="Y299" i="4"/>
  <c r="Y230" i="4"/>
  <c r="Y258" i="4"/>
  <c r="Y339" i="4"/>
</calcChain>
</file>

<file path=xl/sharedStrings.xml><?xml version="1.0" encoding="utf-8"?>
<sst xmlns="http://schemas.openxmlformats.org/spreadsheetml/2006/main" count="2934" uniqueCount="950">
  <si>
    <t>Author (Last FM)</t>
  </si>
  <si>
    <t>Article Title</t>
  </si>
  <si>
    <t>Journal (PubMed Abbrev)</t>
  </si>
  <si>
    <t>Category (ECRLS, DHR, EMD)</t>
  </si>
  <si>
    <t>Original Research or Review (OR, RE)</t>
  </si>
  <si>
    <t>PMID</t>
  </si>
  <si>
    <t>Editor Initials</t>
  </si>
  <si>
    <t>Primary Reviewer Initials</t>
  </si>
  <si>
    <t>Secondary Reviewer Initials</t>
  </si>
  <si>
    <t>1. Clarity
 (Rev 2)</t>
  </si>
  <si>
    <t>Total score (Rev 1)</t>
  </si>
  <si>
    <t>Total score (Rev 2)</t>
  </si>
  <si>
    <t>Champagne N</t>
  </si>
  <si>
    <t>Wuthisuthimethawee P</t>
  </si>
  <si>
    <t>BMC Emerg Med</t>
  </si>
  <si>
    <t>Non-randomized comparative study on the efficacy of a trauma protocol in the emergency department</t>
  </si>
  <si>
    <t>Chin J Traumatol</t>
  </si>
  <si>
    <t>ECRLS</t>
  </si>
  <si>
    <t>OR</t>
  </si>
  <si>
    <t>RE</t>
  </si>
  <si>
    <t>JB</t>
  </si>
  <si>
    <t>EL</t>
  </si>
  <si>
    <t>Mockler G</t>
  </si>
  <si>
    <t>Needs assessment for a formal emergency medicine residency program in southern Madagascar</t>
  </si>
  <si>
    <t>Afr J Emerg Med</t>
  </si>
  <si>
    <t>EMD</t>
  </si>
  <si>
    <t>BMC Health Serv Res</t>
  </si>
  <si>
    <t>Hahn K</t>
  </si>
  <si>
    <t>BMC Int Health Hum Rights</t>
  </si>
  <si>
    <t>DHR</t>
  </si>
  <si>
    <t>Sheel M</t>
  </si>
  <si>
    <t>Evaluation of the early warning, alert and response system after Cyclone Winston, Fiji, 2016</t>
  </si>
  <si>
    <t>Bull World Health Organ</t>
  </si>
  <si>
    <t>Disaster Med Public Health Prep</t>
  </si>
  <si>
    <t>Conway D</t>
  </si>
  <si>
    <t>The burden of femoral shaft fractures in Tanzania</t>
  </si>
  <si>
    <t>Injury</t>
  </si>
  <si>
    <t>Malerba P</t>
  </si>
  <si>
    <t>Is there a role for bedside ultrasound in malaria? A survey of the literature</t>
  </si>
  <si>
    <t>J Ultrasound</t>
  </si>
  <si>
    <t>Mosadeghrad AM</t>
  </si>
  <si>
    <t>Hum Antibodies</t>
  </si>
  <si>
    <t>Nerlander MP</t>
  </si>
  <si>
    <t>World J Surg</t>
  </si>
  <si>
    <t>Bazyar J</t>
  </si>
  <si>
    <t>Open Access Maced J Med Sci</t>
  </si>
  <si>
    <t>Ahmad J</t>
  </si>
  <si>
    <t>Gebru AA</t>
  </si>
  <si>
    <t>Momčilović S</t>
  </si>
  <si>
    <t>Clin Microbiol Infect</t>
  </si>
  <si>
    <t>Kong SYJ</t>
  </si>
  <si>
    <t>Changes in the healthcare utilization after establishment of emergency centre in Yaoundé, Cameroon: A before and after cross-sectional survey analysis</t>
  </si>
  <si>
    <t>PLoS One</t>
  </si>
  <si>
    <t>Roberts B</t>
  </si>
  <si>
    <t>Epidemiol Psychiatr Sci</t>
  </si>
  <si>
    <t>Shrestha R</t>
  </si>
  <si>
    <t>Interdisciplinary in situ simulation-based medical education in the emergency department of a teaching hospital in Nepal</t>
  </si>
  <si>
    <t>Kalanlar B</t>
  </si>
  <si>
    <t>Seddighi H</t>
  </si>
  <si>
    <t>Trauma Violence Abuse</t>
  </si>
  <si>
    <t>Santos VS</t>
  </si>
  <si>
    <t>El Arnaout N</t>
  </si>
  <si>
    <t>Assessment of the health needs of Syrian refugees in Lebanon and Syria's neighboring countries</t>
  </si>
  <si>
    <t>Lucumay NJ</t>
  </si>
  <si>
    <t>Confl Health</t>
  </si>
  <si>
    <t>Pre-referral stabilization and compliance with WHO guidelines for trauma care among adult patients referred to an urban emergency department of a tertiary referral hospital in Tanzania</t>
  </si>
  <si>
    <t>Amat Camacho N</t>
  </si>
  <si>
    <t>Prehosp Disaster Med</t>
  </si>
  <si>
    <t>Fifteen years of emergency medicine literature in Africa: A scoping review</t>
  </si>
  <si>
    <t>Imaging in trauma in limited-resource settings: A literature review</t>
  </si>
  <si>
    <t>Miyoshi Y</t>
  </si>
  <si>
    <t>Significance of pre-hospital care to reduce the morbidity of eclampsie in rural Zambia</t>
  </si>
  <si>
    <t>BMJ Open</t>
  </si>
  <si>
    <t>Bou-Karroum L</t>
  </si>
  <si>
    <t>J Glob Health</t>
  </si>
  <si>
    <t>Ving RV</t>
  </si>
  <si>
    <t>Kavukcu N</t>
  </si>
  <si>
    <t>West J Emerg Med</t>
  </si>
  <si>
    <t>What structural factors influencing emergency and disaster medical response teams? A comparative review study</t>
  </si>
  <si>
    <t>Jafari H</t>
  </si>
  <si>
    <t>Morbidity and mortality from technological disasters in Iran: A narrative review</t>
  </si>
  <si>
    <t>J Educ Health Promot</t>
  </si>
  <si>
    <t>Lokeskrawee T</t>
  </si>
  <si>
    <t>Accuracy of laboratory tests collected at referring hospitals versus tertiary care hospitals for acute stroke patients</t>
  </si>
  <si>
    <t>Int J Toxicol</t>
  </si>
  <si>
    <t>Adv Respir Med</t>
  </si>
  <si>
    <t>Azeem AR</t>
  </si>
  <si>
    <t>Perception of preparedness of health care professionals in case of a nuclear, chemical, biological attack/emergency in a tertiary care hospital</t>
  </si>
  <si>
    <t>Cureus</t>
  </si>
  <si>
    <t>Banke-Thomas A</t>
  </si>
  <si>
    <t>Hertz JT</t>
  </si>
  <si>
    <t>Int Health</t>
  </si>
  <si>
    <t>Lafta R</t>
  </si>
  <si>
    <t>Meaney PA</t>
  </si>
  <si>
    <t>Manoochehry S</t>
  </si>
  <si>
    <t>Puett C</t>
  </si>
  <si>
    <t>Mueller SM</t>
  </si>
  <si>
    <t>Implementation and evaluation of an algorithm for the management of scabies outbreaks</t>
  </si>
  <si>
    <t>Disasters</t>
  </si>
  <si>
    <t>BMC Infect Dis</t>
  </si>
  <si>
    <t>Hermosilla S</t>
  </si>
  <si>
    <t>BMC Public Health</t>
  </si>
  <si>
    <t>Ndadane N</t>
  </si>
  <si>
    <t>Philip CO</t>
  </si>
  <si>
    <t>Evaluation of the performance of a multiplex reverse transcription polymerase chain reaction kit as a potential diagnostic and surveillance kit for rotavirus in Kenya</t>
  </si>
  <si>
    <t>Trop Dis Travel Med Vaccines</t>
  </si>
  <si>
    <t>Hernandes Rocha TA</t>
  </si>
  <si>
    <t>J Neurosurg</t>
  </si>
  <si>
    <t>Snider CJ</t>
  </si>
  <si>
    <t>Lancet</t>
  </si>
  <si>
    <t>Ahmad F</t>
  </si>
  <si>
    <t>What are we doing for injuries? The burden and level of preparedness for mass emergencies in Khyber Pakhtunkhwa province of Pakistan</t>
  </si>
  <si>
    <t>J Ayub Med Coll Abbottabad</t>
  </si>
  <si>
    <t>Bjorklund AR</t>
  </si>
  <si>
    <t>Paediatr Int Child Health</t>
  </si>
  <si>
    <t>Bulabula ANH</t>
  </si>
  <si>
    <t>Clin Infect Dis</t>
  </si>
  <si>
    <t>Detection and management of anaphylaxis in children</t>
  </si>
  <si>
    <t>Rev Chil Pediatr</t>
  </si>
  <si>
    <t>Khan A</t>
  </si>
  <si>
    <t>An electronic-based curriculum to train acute care providers in rural Haiti and India</t>
  </si>
  <si>
    <t>J Grad Med Educ</t>
  </si>
  <si>
    <t>Knowledge and attitude towards identification of systemic inflammatory response syndrome (SIRS) and sepsis among emergency personnel in tertiary teaching hospital</t>
  </si>
  <si>
    <t>Australas Emerg Care</t>
  </si>
  <si>
    <t>Shi D</t>
  </si>
  <si>
    <t>Eur J Trauma Emerg Surg</t>
  </si>
  <si>
    <t>Verwijs MC</t>
  </si>
  <si>
    <t>Lancet Infect Dis</t>
  </si>
  <si>
    <t>AS</t>
  </si>
  <si>
    <t>Khan Y</t>
  </si>
  <si>
    <t>Diabetes Spectr</t>
  </si>
  <si>
    <t>Berndtson AE</t>
  </si>
  <si>
    <t>Tian Z</t>
  </si>
  <si>
    <t>Trauma Surg Acute Care Open</t>
  </si>
  <si>
    <t>Bukhman AK</t>
  </si>
  <si>
    <t>Curr Cardiol Rep</t>
  </si>
  <si>
    <t>Bress J</t>
  </si>
  <si>
    <t>Delivering integrated care after sexual violence in the Democratic Republic of the Congo</t>
  </si>
  <si>
    <t>BMJ Glob Health</t>
  </si>
  <si>
    <t>Administration of tranexamic acid for victims of severe trauma within pre-hospital care ambulance services (PHCAS) in Malaysia</t>
  </si>
  <si>
    <t>Med J Malaysia</t>
  </si>
  <si>
    <t>Ho S</t>
  </si>
  <si>
    <t>Houston KA</t>
  </si>
  <si>
    <t>BMC Med</t>
  </si>
  <si>
    <t>Mould-Millman NK</t>
  </si>
  <si>
    <t>Islam MT</t>
  </si>
  <si>
    <t>Field evaluation of a locally produced rapid diagnostic test for early detection of cholera in Bangladesh</t>
  </si>
  <si>
    <t>PLoS Negl Trop Dis</t>
  </si>
  <si>
    <t>Kwag M</t>
  </si>
  <si>
    <t>Difficulties faced by Korean disaster relief workers while providing humanitarian aid: A descriptive study</t>
  </si>
  <si>
    <t>Nurs Health Sci</t>
  </si>
  <si>
    <t>Willett JK</t>
  </si>
  <si>
    <t>Luvira V</t>
  </si>
  <si>
    <t>Burkholder TW</t>
  </si>
  <si>
    <t>Am J Trop Med Hyg</t>
  </si>
  <si>
    <t>Satoh J</t>
  </si>
  <si>
    <t>Diabetes care providers' manual for disaster diabetes care</t>
  </si>
  <si>
    <t>Diabetol Int</t>
  </si>
  <si>
    <t>Utilization of age-adjusted shock index in a resource-strained setting</t>
  </si>
  <si>
    <t>J Pediatr Surg</t>
  </si>
  <si>
    <t>Chavula C</t>
  </si>
  <si>
    <t>Cross-sectional evaluation of emergency care capacity at public hospitals in Zambia</t>
  </si>
  <si>
    <t>Emerg Med J</t>
  </si>
  <si>
    <t>Gaye B</t>
  </si>
  <si>
    <t>Epidemiological transition in morbidity: 10-year data from emergency consultations in Dakar, Senegal</t>
  </si>
  <si>
    <t>Nasiri A</t>
  </si>
  <si>
    <t>Int J Health Plann Manage</t>
  </si>
  <si>
    <t>O'Reilly GM</t>
  </si>
  <si>
    <t>Parkes-Ratanshi R</t>
  </si>
  <si>
    <t>Int J STD AIDS</t>
  </si>
  <si>
    <t>Tripathy SK</t>
  </si>
  <si>
    <t>Clinico-epidemiological study of viral acute encephalitis syndrome cases and comparison to nonviral cases in children from eastern India</t>
  </si>
  <si>
    <t>J Glob Infect Dis</t>
  </si>
  <si>
    <t>Wangara AA</t>
  </si>
  <si>
    <t>Implementation and performance of the South African Triage Scale at Kenyatta National Hospital in Nairobi, Kenya</t>
  </si>
  <si>
    <t>Int J Emerg Med</t>
  </si>
  <si>
    <t>Wangrangsimakul T</t>
  </si>
  <si>
    <t>J Pediatric Infect Dis Soc</t>
  </si>
  <si>
    <t>Mixed methods process evaluation of pilot implementation of the African Federation for Emergency Medicine trauma data project protocol in Ethiopia</t>
  </si>
  <si>
    <t>Pediatrics</t>
  </si>
  <si>
    <t>Razzak J</t>
  </si>
  <si>
    <t>Lunga W</t>
  </si>
  <si>
    <t>Disability and disaster risk reduction as an incongruent matrix: Lessons from rural Zimbabwe</t>
  </si>
  <si>
    <t>Jamba</t>
  </si>
  <si>
    <t>White S</t>
  </si>
  <si>
    <t>Could the Supertowel be used as an alternative hand cleaning product for emergencies? An acceptability and feasibility study in a refugee camp in Ethiopia</t>
  </si>
  <si>
    <t>Bower H</t>
  </si>
  <si>
    <t>Detection of Crimean-Congo Haemorrhagic Fever cases in a severe undifferentiated febrile illness outbreak in the Federal Republic of Sudan: A retrospective epidemiological and diagnostic cohort study</t>
  </si>
  <si>
    <t>Keitel K</t>
  </si>
  <si>
    <t>Shokoohi H</t>
  </si>
  <si>
    <t>Ultrasound Med Biol</t>
  </si>
  <si>
    <t>Suriyawongpaisal P</t>
  </si>
  <si>
    <t>Assessment of nationwide emergency systems in Thailand, a middle-income country setting with UHC</t>
  </si>
  <si>
    <t>Diallo MK</t>
  </si>
  <si>
    <t>Van Hoving DJ</t>
  </si>
  <si>
    <t>J Acquir Immune Defic Syndr</t>
  </si>
  <si>
    <t>Kornfeld JE</t>
  </si>
  <si>
    <t>Traynor MD Jr</t>
  </si>
  <si>
    <t>Pediatr Surg Int</t>
  </si>
  <si>
    <t>El Khuri C</t>
  </si>
  <si>
    <t>Emerg Med Int</t>
  </si>
  <si>
    <t>Lim SC</t>
  </si>
  <si>
    <t>Malays J Med Sci</t>
  </si>
  <si>
    <t>Goldstein LN</t>
  </si>
  <si>
    <t>Aluisio AR</t>
  </si>
  <si>
    <t>J Nutr</t>
  </si>
  <si>
    <t>Mize CH</t>
  </si>
  <si>
    <t>High Alt Med Biol</t>
  </si>
  <si>
    <t>Douglass K</t>
  </si>
  <si>
    <t>AEM Educ Train</t>
  </si>
  <si>
    <t>Lancet Glob Health</t>
  </si>
  <si>
    <t>Modelling the impact of chest X-ray and alternative triage approaches prior to seeking a tuberculosis diagnosis</t>
  </si>
  <si>
    <t>World Neurosurg</t>
  </si>
  <si>
    <t>Effective triage in the Pacific region: The development and implementation of the Solomon Islands Triage Scale</t>
  </si>
  <si>
    <t>Emerg Med Australas</t>
  </si>
  <si>
    <t>Ann Glob Health</t>
  </si>
  <si>
    <t>Front Public Health</t>
  </si>
  <si>
    <t>Retrospective review of the patient cases at a major trauma center in Nairobi, Kenya and implications for emergency care development</t>
  </si>
  <si>
    <t>Sankar J</t>
  </si>
  <si>
    <t>Pediatr Emer Care</t>
  </si>
  <si>
    <t>Wonderly B</t>
  </si>
  <si>
    <t>Comparative performance of four rapid Ebola antigen-detection lateral flow immunoassays during the 2014-2016 Ebola epidemic in West Africa</t>
  </si>
  <si>
    <t>Kaselitz E</t>
  </si>
  <si>
    <t>Understanding the gap in emergency obstetric and neonatal care in Ghana through the PREventing Maternal And Neonatal Deaths (PREMAND) study</t>
  </si>
  <si>
    <t>Int J Gynaecol Obstet</t>
  </si>
  <si>
    <t>J Trop Pediatr</t>
  </si>
  <si>
    <t>Dippenaar E</t>
  </si>
  <si>
    <t>Pre-hospital intercostal chest drains in South Africa: A modified Delphi study</t>
  </si>
  <si>
    <t>Feasibility and preliminary validity evidence for remote video-based assessment of clinicians in a global health setting</t>
  </si>
  <si>
    <t>J Emerg Med</t>
  </si>
  <si>
    <t>Theodorakopoulou E</t>
  </si>
  <si>
    <t>London calling Gaza: The role of international collaborations in the globalisation of postgraduate burn care education</t>
  </si>
  <si>
    <t>Scars Burn Heal</t>
  </si>
  <si>
    <t>J Surg Res</t>
  </si>
  <si>
    <t>Ma C</t>
  </si>
  <si>
    <t>Performance characteristics of a local triage tool and internationally validated tools among under-fives presenting to an urban emergency department in Tanzania</t>
  </si>
  <si>
    <t>Modified systemic inflammatory response syndrome and provider gestalt predicting adverse outcomes in children under 5 years presenting to an urban emergency department of a tertiary hospital in Tanzania</t>
  </si>
  <si>
    <t>Metzler J</t>
  </si>
  <si>
    <t>Gallaher J</t>
  </si>
  <si>
    <t>Aditianingsih D</t>
  </si>
  <si>
    <t>Pokharel S</t>
  </si>
  <si>
    <t>Analysis of the efficiency of an emergency network for the treatment of multiple burn victims</t>
  </si>
  <si>
    <t>Rev Col Bras Cir</t>
  </si>
  <si>
    <t>Awasthi S</t>
  </si>
  <si>
    <t>Knowledge, attitude, and practice of first aid among the commercial drivers in the Kumaon region of India</t>
  </si>
  <si>
    <t>Kauna R</t>
  </si>
  <si>
    <t>Finger F</t>
  </si>
  <si>
    <t>Real-time analysis of the diphtheria outbreak in forcibly displaced Myanmar nationals in Bangladesh</t>
  </si>
  <si>
    <t>Jawaid A</t>
  </si>
  <si>
    <t>J Pediatr Endocrinol Metab</t>
  </si>
  <si>
    <t>Bellet FD</t>
  </si>
  <si>
    <t>Pan Afr Med J</t>
  </si>
  <si>
    <t>Efunshile AM</t>
  </si>
  <si>
    <t>Apparent overuse of antibiotics in the management of watery diarrhoea in children in Abakaliki, Nigeria</t>
  </si>
  <si>
    <t>Kallas EG</t>
  </si>
  <si>
    <t>Menegat RP</t>
  </si>
  <si>
    <t>Rev Bras Enferm</t>
  </si>
  <si>
    <t>Muhanuzi B</t>
  </si>
  <si>
    <t>Respiratory compromise in children presenting to an urban emergency department of a teriary hospital in Tanzania: a descriptive cohort study</t>
  </si>
  <si>
    <t>Pholmoo N</t>
  </si>
  <si>
    <t>J Clin Transl Hepatol</t>
  </si>
  <si>
    <t>Von Saint André-Von Arnim AO</t>
  </si>
  <si>
    <t>Feasibility of high-flow nasal cannula implementation for children with acute lower respiratory tract disease in rural Kenya</t>
  </si>
  <si>
    <t>Alibhai A</t>
  </si>
  <si>
    <t>Poor access to acute care resources to treat major trauma in low- and middle-income settings: A self-reported survey of acute care providers</t>
  </si>
  <si>
    <t>Ford JS</t>
  </si>
  <si>
    <t>Am J Emerg Med</t>
  </si>
  <si>
    <t>Heuvelings CC</t>
  </si>
  <si>
    <t>Chest ultrasound findings in children with suspected pulmonary tuberculosis</t>
  </si>
  <si>
    <t>Pediatr Pulmonol</t>
  </si>
  <si>
    <t>Howe K</t>
  </si>
  <si>
    <t>Jaimes A</t>
  </si>
  <si>
    <t>J Trauma Stress</t>
  </si>
  <si>
    <t>Jillson IA</t>
  </si>
  <si>
    <t>Pooran A</t>
  </si>
  <si>
    <t>Ramadhani J</t>
  </si>
  <si>
    <t>Feasibility and yield of HIV screening among adult trauma patients presenting to an urban emergency department of a tertiary referral hospital in Tanzania</t>
  </si>
  <si>
    <t>AIDS Res Ther</t>
  </si>
  <si>
    <t>Cag Y</t>
  </si>
  <si>
    <t>Evaluation of using pediatric emergency rooms</t>
  </si>
  <si>
    <t>North Clin Istanb</t>
  </si>
  <si>
    <t>Colella M</t>
  </si>
  <si>
    <t>Implementation and evaluation of an innovative leadership and teacher training program for non-physician emergency medicine practitioners in Uganda</t>
  </si>
  <si>
    <t>Drake M</t>
  </si>
  <si>
    <t>BMC Pediatr</t>
  </si>
  <si>
    <t>Janeway H</t>
  </si>
  <si>
    <t>Characterizing injury at a tertiary referral hospital in Kenya</t>
  </si>
  <si>
    <t>Kourouma K</t>
  </si>
  <si>
    <t>Laeke T</t>
  </si>
  <si>
    <t>Schmedding M</t>
  </si>
  <si>
    <t>St-Louis E</t>
  </si>
  <si>
    <t>Sylverken J</t>
  </si>
  <si>
    <t>Pediatr Emerg Care</t>
  </si>
  <si>
    <t>Terry B</t>
  </si>
  <si>
    <t>Impact of emergency medicine training implementation on mortality outcomes in Kigali, Rwanda: An interrupted time-series study</t>
  </si>
  <si>
    <t>Alvarado LI</t>
  </si>
  <si>
    <t>Blanchard J</t>
  </si>
  <si>
    <t>Seasonal dengue surge: Providers' perceptions about the impact of dengue on patient volume, staffing and use of point of care testing in Indian emergency departments</t>
  </si>
  <si>
    <t>J Infect Public Health</t>
  </si>
  <si>
    <t>Edem IJ</t>
  </si>
  <si>
    <t>Kulkarni AV</t>
  </si>
  <si>
    <t>Spiegel P</t>
  </si>
  <si>
    <t>Althaus T</t>
  </si>
  <si>
    <t>Kershaw C</t>
  </si>
  <si>
    <t>Shazzadur Rahman AAM</t>
  </si>
  <si>
    <t>Khan KA</t>
  </si>
  <si>
    <t>Wanefalea LE</t>
  </si>
  <si>
    <t>Malik MS</t>
  </si>
  <si>
    <t>Saleeby J</t>
  </si>
  <si>
    <t>S Afr J Surg</t>
  </si>
  <si>
    <t>Pregnancy Hypertens</t>
  </si>
  <si>
    <t>J Child Psychol Psychiatry</t>
  </si>
  <si>
    <t>Ann Burns Fire Disasters</t>
  </si>
  <si>
    <t>Trop Med Health</t>
  </si>
  <si>
    <t>Health Policy Plan</t>
  </si>
  <si>
    <t>Clin Kidney J</t>
  </si>
  <si>
    <t>J Family Med Prim Care</t>
  </si>
  <si>
    <t>Arch Acad Emerg Med</t>
  </si>
  <si>
    <t>NSB</t>
  </si>
  <si>
    <t>J Assoc Physicians India</t>
  </si>
  <si>
    <t>Dysoley L</t>
  </si>
  <si>
    <t>The tolerability of single low dose primaquine in glucose-6-phosphate deficient and normal falciparum-infected Cambodians</t>
  </si>
  <si>
    <t>Nakahara S</t>
  </si>
  <si>
    <t xml:space="preserve">Development of an emergency medical system model for resource-constrained settings </t>
  </si>
  <si>
    <t>Olldashi F</t>
  </si>
  <si>
    <t>Rodriguez C</t>
  </si>
  <si>
    <t>A trauma registry experience from the main referral center of Honduras: A call for action</t>
  </si>
  <si>
    <t>Procedural sedation and analgesia practices in the emergency centre</t>
  </si>
  <si>
    <t>Aprahamian I</t>
  </si>
  <si>
    <t>J Nutr Health Aging</t>
  </si>
  <si>
    <t>Reprod Health</t>
  </si>
  <si>
    <t>Evaluating a South African mobile application for healthcare professionals to improve diagnosis and notification of pesticide poisonings</t>
  </si>
  <si>
    <t>Trop Med Int Health</t>
  </si>
  <si>
    <t>Minimum data set (MDS) based trauma registry, is the data adequate? An evidence-based study from Odisha, India</t>
  </si>
  <si>
    <t>Ultrasound J</t>
  </si>
  <si>
    <t>Impact of ultrasound on management for dyspnea presentations in a Rwandan emergency department</t>
  </si>
  <si>
    <t>Kohn-Loncarica GA</t>
  </si>
  <si>
    <t>Pati S</t>
  </si>
  <si>
    <t>Sawe HR</t>
  </si>
  <si>
    <t>Ri S</t>
  </si>
  <si>
    <t>Umuhire OF</t>
  </si>
  <si>
    <t>Wood-Thompson DK</t>
  </si>
  <si>
    <t>BMC Med Educ</t>
  </si>
  <si>
    <t>Balkrishnan P</t>
  </si>
  <si>
    <t>Attacks on healthcare facilities as an indicator of violence against civilians in Syria: An exploratory analysis of open-source data</t>
  </si>
  <si>
    <t>Kabanda S</t>
  </si>
  <si>
    <t>BMC Med Inform Decis Mak</t>
  </si>
  <si>
    <t>Bailey PE</t>
  </si>
  <si>
    <t>Mowafi H</t>
  </si>
  <si>
    <t>Arch Dis Child</t>
  </si>
  <si>
    <t>Br Med Bull</t>
  </si>
  <si>
    <t xml:space="preserve">BMJ Glob Health </t>
  </si>
  <si>
    <t>Tran TT</t>
  </si>
  <si>
    <t>Versantvoort JMD</t>
  </si>
  <si>
    <t>Trauma registry data as a tool for comparison of practice patterns and outcomes between low- and middle-income and high-income healthcare settings</t>
  </si>
  <si>
    <t>Respiratory and coagulation dysfunctions on admission as independent predictors of in-hospital mortality in critically ill burn patients</t>
  </si>
  <si>
    <t>Rapid, remote education for point-of-care ultrasound among non-physician emergency care providers in a resource limited setting</t>
  </si>
  <si>
    <t>The cost of time: A randomised, controlled trial to assess the economic impact of upfront, point-of-care blood tests in the Emergency Centre</t>
  </si>
  <si>
    <t>Vitamin A Supplementation Was Associated with Reduced Mortality in Patients with Ebola Virus Disease during the West African Outbreak</t>
  </si>
  <si>
    <t>Open Forum Infect Dis</t>
  </si>
  <si>
    <t>An Bras Dermatol</t>
  </si>
  <si>
    <t>J Trauma Nurs</t>
  </si>
  <si>
    <t>Assessing the cost-effectiveness of interventions within a humanitarian organisation</t>
  </si>
  <si>
    <t>1. Clarity
 (Rev 1)</t>
  </si>
  <si>
    <t>2. Design/stats or breadth/depth
(Rev 1)</t>
  </si>
  <si>
    <t>2.Design/stats or breadth/depth
(Rev 2)</t>
  </si>
  <si>
    <t>RL</t>
  </si>
  <si>
    <t>Biedron C</t>
  </si>
  <si>
    <t>MMWR Morb Mortal Wkly Rep</t>
  </si>
  <si>
    <t>Pediatr Infect Dis J</t>
  </si>
  <si>
    <t>Lancet Public Health</t>
  </si>
  <si>
    <t>Vaccine</t>
  </si>
  <si>
    <t>Green C</t>
  </si>
  <si>
    <t>Use of rectal artesunate for severe malaria at the community level, Zambia</t>
  </si>
  <si>
    <t>Emerg Infect Dis</t>
  </si>
  <si>
    <t>BMJ Global Health</t>
  </si>
  <si>
    <t>Clinical and demographic profile of admitted victims in a tertiary hospital after the 2015 earthquake in Nepal</t>
  </si>
  <si>
    <t>Morris B</t>
  </si>
  <si>
    <t>Nadimpalli A</t>
  </si>
  <si>
    <t>Nyambo E</t>
  </si>
  <si>
    <t>Roder-DeWan S</t>
  </si>
  <si>
    <t>Tomczyk S</t>
  </si>
  <si>
    <t>Factors associated with fatal cases of acute respiratory infection (ARI) among hospitalized patients in Guatemala</t>
  </si>
  <si>
    <t>Aldamman K</t>
  </si>
  <si>
    <t>Eur J Psychotraumatol</t>
  </si>
  <si>
    <t>Ghauri SK</t>
  </si>
  <si>
    <t>Dismal situation of cardio pulmonary resuscitation knowledge and skills among junior doctors in twin cities of Pakistan</t>
  </si>
  <si>
    <t>Pak J Med Sci</t>
  </si>
  <si>
    <t>Mac PA</t>
  </si>
  <si>
    <t>Needs assessment of emergency medical and rescue services in Abuja/Nigeria and environs</t>
  </si>
  <si>
    <t>Ngwalangwa F</t>
  </si>
  <si>
    <t>Risk factors for mortality in severely ill children admitted to a tertiary referral hospital in Malawi</t>
  </si>
  <si>
    <t>Peters DH</t>
  </si>
  <si>
    <t>Financing common goods for health: Core government functions in health emergency and disaster risk management</t>
  </si>
  <si>
    <t>Health Syst Reform</t>
  </si>
  <si>
    <t>Shivabesan G</t>
  </si>
  <si>
    <t>Establishing a multicentre trauma registry in India: An evaluation of data completeness</t>
  </si>
  <si>
    <t>Saikal SL</t>
  </si>
  <si>
    <t>J Eur Acad Dermatol Venereol</t>
  </si>
  <si>
    <t>Irfan B</t>
  </si>
  <si>
    <t>Dhakal GR</t>
  </si>
  <si>
    <t>Global Spine J</t>
  </si>
  <si>
    <t>Clark K</t>
  </si>
  <si>
    <t>We need to target trauma: A prospective observational study in Eastern Cape Province, South Africa</t>
  </si>
  <si>
    <t>S Afr Med J</t>
  </si>
  <si>
    <t>Dekker-Boersemaa J</t>
  </si>
  <si>
    <t>Qatar Med J</t>
  </si>
  <si>
    <t>Muhrbeck M</t>
  </si>
  <si>
    <t>Using artifcial intelligence to read chest radiographs for tuberculosis detection: A multi-site evaluation of the diagnostic accuracy of three deep learning systems</t>
  </si>
  <si>
    <t>Sci Rep</t>
  </si>
  <si>
    <t>Secka F</t>
  </si>
  <si>
    <t xml:space="preserve">Traumatic injuries in rural Honduras: A two month pilot study </t>
  </si>
  <si>
    <t>Bay N</t>
  </si>
  <si>
    <t>Dreizler L</t>
  </si>
  <si>
    <t>Fardousi N</t>
  </si>
  <si>
    <t>Pefile N</t>
  </si>
  <si>
    <t>Tepparukkul P</t>
  </si>
  <si>
    <t>Utility of qSOFA and modified SOFA in severe malaria presenting as sepsis</t>
  </si>
  <si>
    <t>Bahuguna P</t>
  </si>
  <si>
    <t>Appl Health Econ Health Policy</t>
  </si>
  <si>
    <t>Changalucha J</t>
  </si>
  <si>
    <t>Crellen T</t>
  </si>
  <si>
    <t>What drives mortality among HIV patients in a conflict setting? A prospective cohort study in the Central African Republic</t>
  </si>
  <si>
    <t>Kahsay DT</t>
  </si>
  <si>
    <t>BMC Nurs</t>
  </si>
  <si>
    <t>Minja IK</t>
  </si>
  <si>
    <t>Int J Environ Res Public Health</t>
  </si>
  <si>
    <t>Edward U</t>
  </si>
  <si>
    <t>The utility of point of care serum lactate in predicting serious adverse outcomes among critically ill adult patients at urban emergency departments of tertiary hospitals in Tanzania</t>
  </si>
  <si>
    <t>Liu Y</t>
  </si>
  <si>
    <t>Hum Vaccin Immunother</t>
  </si>
  <si>
    <t>Rizka A</t>
  </si>
  <si>
    <t>Geriatr Gerontol Int</t>
  </si>
  <si>
    <t>Tay AK</t>
  </si>
  <si>
    <t>Functional impairment as a proxy measure indicating high rates of trauma exposure, post-migration living difficulties, common mental disorders, and poor health amongst Rohingya refugees in Malaysia</t>
  </si>
  <si>
    <t>Transl Psychiatry</t>
  </si>
  <si>
    <t>Teferi M</t>
  </si>
  <si>
    <t>Acute febrile illness among children in Butajira, South-Central Ethiopia during the typhoid fever surveillance in Africa Program</t>
  </si>
  <si>
    <t>Zubairi H</t>
  </si>
  <si>
    <t>Ahmed MAA</t>
  </si>
  <si>
    <t>Severe childhood anemia and emergency blood transfusion in Gadarif Hospital, Eastern Sudan</t>
  </si>
  <si>
    <t>French MA</t>
  </si>
  <si>
    <t>CRASH-3 Trial Collaborators</t>
  </si>
  <si>
    <t>Samprathi M</t>
  </si>
  <si>
    <t>Sutherland T</t>
  </si>
  <si>
    <t xml:space="preserve">The "just right" amount of oxygen. Improving oxygen use in a Rwandan emergency department </t>
  </si>
  <si>
    <t>Tan R</t>
  </si>
  <si>
    <t>Clinical outcome of febrile Tanzanian children with severe malnutrition using anthropometry in comparison to clinical signs</t>
  </si>
  <si>
    <t>Ababneh LT</t>
  </si>
  <si>
    <t>Clin Ophthalmol</t>
  </si>
  <si>
    <t>Bashaka PJ</t>
  </si>
  <si>
    <t>Mattson P</t>
  </si>
  <si>
    <t>Musculoskeletal injuries and outcomes pre- and post-emergency medicine training program</t>
  </si>
  <si>
    <t>Pervaiz F</t>
  </si>
  <si>
    <t>Training and standardization of general practitioners in the use of lung ultrasound for the diagnosis of pediatric pneumonia</t>
  </si>
  <si>
    <t>Refaat MM</t>
  </si>
  <si>
    <t>Epidemiology, etiology, and outcomes of out-of-hospital cardiac arrest in young patients in Lebanon</t>
  </si>
  <si>
    <t>Pacing Clin Electrophysiol</t>
  </si>
  <si>
    <t>Ekezie W</t>
  </si>
  <si>
    <t>An audit of healthcare provision in internally displaced population camps in Nigeria</t>
  </si>
  <si>
    <t>Evaluating trauma scoring systems for patients presenting with gunshot injuries to a district-level urban public hospital in Cape Town, South Africa</t>
  </si>
  <si>
    <t>Wentzel N</t>
  </si>
  <si>
    <t>Fresh frozen plasma for on-demand hereditary angioedema treatment in South Africa and Iran</t>
  </si>
  <si>
    <t>World Allergy Organ J</t>
  </si>
  <si>
    <t>Ethn Dis</t>
  </si>
  <si>
    <t>HB</t>
  </si>
  <si>
    <t>Vekaria-Hirani V</t>
  </si>
  <si>
    <t>Int J Pediatr</t>
  </si>
  <si>
    <t>Bhalla K</t>
  </si>
  <si>
    <t>Spall A</t>
  </si>
  <si>
    <t>Gainey M</t>
  </si>
  <si>
    <t>R I Med J</t>
  </si>
  <si>
    <t>Toxicon</t>
  </si>
  <si>
    <t>Rojas A</t>
  </si>
  <si>
    <t>Cooper LV</t>
  </si>
  <si>
    <t>Reactive vaccination as a control strategy for pneumococcal meningitis oubreaks in the African meningitis belt: Analysis of outbreak data from Ghana</t>
  </si>
  <si>
    <t>Phungoen P</t>
  </si>
  <si>
    <t>Predictors of appropriate antibiotic use in bacteremia patients presenting at the emergency department</t>
  </si>
  <si>
    <t>Antibiotics</t>
  </si>
  <si>
    <t>Cantaert T</t>
  </si>
  <si>
    <t>Hassanian-Moghaddam H</t>
  </si>
  <si>
    <t>Consensus statements on the approach to patients in a methanol poisoning outbreak</t>
  </si>
  <si>
    <t>Clin Toxicol</t>
  </si>
  <si>
    <t>Tolppa T</t>
  </si>
  <si>
    <t>Bäckström F</t>
  </si>
  <si>
    <t>Anuntaseree S</t>
  </si>
  <si>
    <t>Lewis JM</t>
  </si>
  <si>
    <t>Radial head subluxation in pediatric clinics and emergency departments in China</t>
    <phoneticPr fontId="16" type="noConversion"/>
  </si>
  <si>
    <t>Chin J Traumatol</t>
    <phoneticPr fontId="16" type="noConversion"/>
  </si>
  <si>
    <t>ECRLS</t>
    <phoneticPr fontId="16" type="noConversion"/>
  </si>
  <si>
    <t>OR</t>
    <phoneticPr fontId="16" type="noConversion"/>
  </si>
  <si>
    <t>Clin Exp Emerg Med</t>
    <phoneticPr fontId="16" type="noConversion"/>
  </si>
  <si>
    <t>EMD</t>
    <phoneticPr fontId="16" type="noConversion"/>
  </si>
  <si>
    <t>Gupta S</t>
  </si>
  <si>
    <t>J Clin Med</t>
    <phoneticPr fontId="16" type="noConversion"/>
  </si>
  <si>
    <t>Ansari N</t>
  </si>
  <si>
    <t>Readiness of emergency obstetric and newborn care in public health facilities in Afghanistan between 2010 and 2016</t>
    <phoneticPr fontId="16" type="noConversion"/>
  </si>
  <si>
    <t>Int J Gynaecol Obstet</t>
    <phoneticPr fontId="16" type="noConversion"/>
  </si>
  <si>
    <t>Sensitivity of C-reactive protein for the identification of patients with laboratory-confirmed bacterial infections in northern Tanzania</t>
    <phoneticPr fontId="16" type="noConversion"/>
  </si>
  <si>
    <t>Trop Med Int Health</t>
    <phoneticPr fontId="16" type="noConversion"/>
  </si>
  <si>
    <t>A single-site pilot implementation of a novel trauma training program for prehospital providers in a resource-limited setting</t>
    <phoneticPr fontId="16" type="noConversion"/>
  </si>
  <si>
    <t>Pilot Feasibility Stud</t>
    <phoneticPr fontId="16" type="noConversion"/>
  </si>
  <si>
    <t>Pediatrics</t>
    <phoneticPr fontId="16" type="noConversion"/>
  </si>
  <si>
    <t>Butler-Dawson J</t>
  </si>
  <si>
    <t>Evaluation of heat stress and cumulative incidence of acute kidney injury in sugarcane workers in Guatemala</t>
    <phoneticPr fontId="16" type="noConversion"/>
  </si>
  <si>
    <t>Int Arch Occup Environ Health</t>
    <phoneticPr fontId="16" type="noConversion"/>
  </si>
  <si>
    <t>Confl Health</t>
    <phoneticPr fontId="16" type="noConversion"/>
  </si>
  <si>
    <t>DHR</t>
    <phoneticPr fontId="16" type="noConversion"/>
  </si>
  <si>
    <t>Blood Purif</t>
    <phoneticPr fontId="16" type="noConversion"/>
  </si>
  <si>
    <t>Int Health</t>
    <phoneticPr fontId="16" type="noConversion"/>
  </si>
  <si>
    <t>Tenner AG</t>
  </si>
  <si>
    <t>Ngobeni H</t>
  </si>
  <si>
    <t>The performance of different case definitions for severe influenza surveillance among HIV-infected and HIV-uninfected children aged &lt;5 years in South Africa, 2011-2015</t>
  </si>
  <si>
    <t>Bottieau E</t>
  </si>
  <si>
    <t>Potential usefulness of C-reactive protein and procalcitonin determination in patients admitted for neurological disorders in rural Democratic Republic of Congo</t>
  </si>
  <si>
    <t>Lukumay GG</t>
  </si>
  <si>
    <t>Cole J</t>
  </si>
  <si>
    <t>JMIR Public Health Surveill</t>
  </si>
  <si>
    <t>Gebresenbet RF</t>
  </si>
  <si>
    <t>Injury severity level and associated factors among road traffic accident victims attending emergency department of Tirunesh Beijing Hospital, Addis Ababa, Ethiopia: A cross sectional hospital-based study</t>
  </si>
  <si>
    <t>Wilderness Environ Med</t>
  </si>
  <si>
    <t>McCollum ED</t>
  </si>
  <si>
    <t>Lancet Respir Med</t>
  </si>
  <si>
    <t>Shumbusho JP</t>
  </si>
  <si>
    <t>J Ultrasound Med</t>
  </si>
  <si>
    <t>Stickley A</t>
  </si>
  <si>
    <t>Physical injury and psychotic experiences in 48 low- and middle-income countries</t>
  </si>
  <si>
    <t>Psychol Med</t>
  </si>
  <si>
    <t>Alam NH</t>
  </si>
  <si>
    <t>Acta Paediatr</t>
  </si>
  <si>
    <t>Bajow NA</t>
  </si>
  <si>
    <t>A Basic Course in Humanitarian Health Emergency and Relief: A Pilot Study from Saudi Arabia.</t>
  </si>
  <si>
    <t>Buntubatu S</t>
  </si>
  <si>
    <t>Cheung A</t>
  </si>
  <si>
    <t>Soc Psychiatry Psychiatr Epidemiol</t>
  </si>
  <si>
    <t>Elahi C</t>
  </si>
  <si>
    <t>Neurosurg Focus</t>
  </si>
  <si>
    <t>George EC</t>
  </si>
  <si>
    <t>Mortality risk over time after early fluid resuscitation in African children</t>
  </si>
  <si>
    <t>Crit Care</t>
  </si>
  <si>
    <t>Heyse L</t>
  </si>
  <si>
    <t>Mboussou F</t>
  </si>
  <si>
    <t>Epidemiol Infect</t>
  </si>
  <si>
    <t>Roberts N</t>
  </si>
  <si>
    <t>Lancet Haematol</t>
  </si>
  <si>
    <t>Srivilaithon W</t>
  </si>
  <si>
    <t>Ahmed A</t>
  </si>
  <si>
    <t>Making humanitarian action work for women and girls</t>
  </si>
  <si>
    <t>Stewart B</t>
  </si>
  <si>
    <t>Palmer VS</t>
  </si>
  <si>
    <t>Plants with neurotoxic potential in undernourished subjects</t>
  </si>
  <si>
    <t>Constantino JL</t>
  </si>
  <si>
    <t>Pittalis C</t>
  </si>
  <si>
    <t>Surgical referral systems in low- and middle-income countries: A review of the evidence</t>
  </si>
  <si>
    <t>Yu S</t>
  </si>
  <si>
    <t>Efficacy and outcomes of lipid resuscitation on organophosphate poisoing patients: A systematic review and meta-analysis</t>
  </si>
  <si>
    <t>Muttalif AR</t>
  </si>
  <si>
    <t>Incidence and prevention of invasive meningococcal disease in global mass gathering events</t>
  </si>
  <si>
    <t>Infect Dis Ther</t>
  </si>
  <si>
    <t>Rossi C</t>
  </si>
  <si>
    <t>Severiche-Bueno D</t>
  </si>
  <si>
    <t>Hot topics and current controversies in community-acquired pneumonia</t>
  </si>
  <si>
    <t>Breathe</t>
  </si>
  <si>
    <t>Huson MAM</t>
  </si>
  <si>
    <t>Kharbach A</t>
  </si>
  <si>
    <t>Rhee C</t>
  </si>
  <si>
    <t>Global knowledge gaps in acute febrile illness etiologic investigations: A scoping review</t>
  </si>
  <si>
    <t>Health Policy</t>
  </si>
  <si>
    <t>Cochrane Database Syst Rev</t>
  </si>
  <si>
    <t>Tavan A</t>
  </si>
  <si>
    <t>Risks threatening the health of people participating in mass gatherings: A systematic review</t>
  </si>
  <si>
    <t>Am J Obstet Gynecol</t>
  </si>
  <si>
    <t>Bouland AJ</t>
  </si>
  <si>
    <t>Khan T</t>
  </si>
  <si>
    <t xml:space="preserve">Global health, global surgery and mass casualties. I. Rational for integrated mass casualty centres
</t>
  </si>
  <si>
    <t>Rosenkrantz L</t>
  </si>
  <si>
    <t>Trauma registry implementation and operation in low and middle income countries: A scoping review</t>
  </si>
  <si>
    <t>Glob Public Health</t>
  </si>
  <si>
    <t>Bartolucci A</t>
  </si>
  <si>
    <t>Hand Clin</t>
    <phoneticPr fontId="16" type="noConversion"/>
  </si>
  <si>
    <t>RE</t>
    <phoneticPr fontId="16" type="noConversion"/>
  </si>
  <si>
    <t>Curr Environ Health Rep</t>
    <phoneticPr fontId="16" type="noConversion"/>
  </si>
  <si>
    <t>Blundell H</t>
  </si>
  <si>
    <t>Ahmed K</t>
  </si>
  <si>
    <t>Online J Public Health Inform</t>
  </si>
  <si>
    <t>Mosayeb K</t>
  </si>
  <si>
    <t>Difference</t>
  </si>
  <si>
    <t>4. Importance/generalizable (Rev 1)</t>
  </si>
  <si>
    <t>4.Importance/generalizable (Rev 2)</t>
  </si>
  <si>
    <t>5. Impact/ practice changing (Rev 1)</t>
  </si>
  <si>
    <t>5.Impact/ practice changing (Rev 2)</t>
  </si>
  <si>
    <t>3. Ethics or Bias (Rev 1)</t>
  </si>
  <si>
    <t>3. Ethics or Bias (Rev 2)</t>
  </si>
  <si>
    <t>Rescore?</t>
  </si>
  <si>
    <t>1. Clarity
 (Editor)</t>
  </si>
  <si>
    <t>2. Design/stats or breadth/depth
(Editor)</t>
  </si>
  <si>
    <t>3. Ethics or Bias (Editor)</t>
  </si>
  <si>
    <t>4. Importance/generalizable (Editor)</t>
  </si>
  <si>
    <t>5. Impact/ practice changing (Editor)</t>
  </si>
  <si>
    <t>Total score (Editor)</t>
  </si>
  <si>
    <t>Editor Score</t>
  </si>
  <si>
    <t>Final Score
(All Rev)</t>
  </si>
  <si>
    <t>Barthélemy EJ</t>
  </si>
  <si>
    <t>Taylor WRJ</t>
  </si>
  <si>
    <t>ATC</t>
  </si>
  <si>
    <t>BJH</t>
  </si>
  <si>
    <t>BDN</t>
  </si>
  <si>
    <t>EAH</t>
  </si>
  <si>
    <t>KEF</t>
  </si>
  <si>
    <t>CMR</t>
  </si>
  <si>
    <t>KAS</t>
  </si>
  <si>
    <t>AYP</t>
  </si>
  <si>
    <t>JEJ</t>
  </si>
  <si>
    <t>JMS</t>
  </si>
  <si>
    <t>JAL</t>
  </si>
  <si>
    <t>AHW</t>
  </si>
  <si>
    <t>NSAQ</t>
  </si>
  <si>
    <t>APJ</t>
  </si>
  <si>
    <t>GMO</t>
  </si>
  <si>
    <t>MMR</t>
  </si>
  <si>
    <t>CAR</t>
  </si>
  <si>
    <t>KRM</t>
  </si>
  <si>
    <t>LDV</t>
  </si>
  <si>
    <t>JMC</t>
  </si>
  <si>
    <t>KSB</t>
  </si>
  <si>
    <t>JWD</t>
  </si>
  <si>
    <t>ADIC</t>
  </si>
  <si>
    <t>Acute kidney injury among paediatric emergency room admissions in a tertiary hospital in South West Nigeria: A cohort study</t>
  </si>
  <si>
    <t>Ademola AD</t>
  </si>
  <si>
    <t>Hospital-based ocular trauma: Factors, treatment, and impact outcome</t>
  </si>
  <si>
    <t>Earthquake-induced injuries: Retrospective epidemiological analysis of the 2015 Hindu Kush earthquake in Pakistan</t>
  </si>
  <si>
    <t>Country preparedness for health and humanitarian emergencies in the WHO African region: Progress, lessons learnt and way forward</t>
  </si>
  <si>
    <t>WHO Weekly Epidemiological Record</t>
  </si>
  <si>
    <t>Development and implementation of electronic disease early warning systems for optimal disease surveillance and response during humanitarian crisis and Ebola outbreak in Yemen, Somalia, Liberia and Pakistan</t>
  </si>
  <si>
    <t>Randomised trial showed that rapid rehydration of severely malnourished children with dehydrating diarrhoea was as safe and effective as slow rehydration</t>
  </si>
  <si>
    <t>Caring for the mental health of humanitarian volunteers in traumatic contexts: The importance of organisational support</t>
  </si>
  <si>
    <t>Effect of point-of-care C-reactive protein testing on antibiotic prescription in febrile patients attending primary care in Thailand and Myanmar: An open-label, randomised, controlled trial</t>
  </si>
  <si>
    <t>Impact of intravenous fluid therapy on survival among patients with Ebola virus disease: An international multisite retrospective cohort study</t>
  </si>
  <si>
    <t>Distinguishing patients with laboratory-confirmed chikungunya from dengue and other acute febrile illnesses, Puerto Rico, 2012-2015</t>
  </si>
  <si>
    <t>International emergency medical teams in the aftermath of the 2015 Nepal earthquake</t>
  </si>
  <si>
    <t>Efficacy of and satisfaction with an in-house developed natural rubber cardiopulmonary resuscitation manikin</t>
  </si>
  <si>
    <t>Frailty could predict death in older adults after admission at emergency department? A 6-month prospective study from a middle-income country</t>
  </si>
  <si>
    <t>Aspelund AL</t>
  </si>
  <si>
    <t>Surgical needs at the end of the Battle of Mosul: Results from Mosul General Hospital</t>
  </si>
  <si>
    <t>Cost-effectiveness of therapeutic use of safety-engineered syringes in healthcare facilities in India</t>
  </si>
  <si>
    <t>Referral patterns through the lens of health facility readiness to manage obstetric complications: National facility-based results from Ghana</t>
  </si>
  <si>
    <t>Compliance of WHO guideline on dengue management among Indian patients: An interventional quality improvement study</t>
  </si>
  <si>
    <t>Assessing geographical distribution and accessibility of emergency obstetric care in sub-Saharan Africa: A systematic review</t>
  </si>
  <si>
    <t>Injury-to-admission delay beyond 4 Hours is associated with worsening outcomes for traumatic brain injury in Cambodia</t>
  </si>
  <si>
    <t>Defining the roles of data manager and epidemiologist in emergency medical teams</t>
  </si>
  <si>
    <t>Undernourished children presenting to an urban emergency department of a tertiary hospital in Tanzania: A prospective descriptive study</t>
  </si>
  <si>
    <t>Assessment of care provision for hypertension at the emergency department of an urban hospital in Mozambique</t>
  </si>
  <si>
    <t>Triage systems in mass casualty incidents and disasters: A review study with a worldwide approach</t>
  </si>
  <si>
    <t>The chracteristics of cervical spinal cord trauma at a North Tanzanian referral hospital: A retrospective hospital based study</t>
  </si>
  <si>
    <t>The TEAM (Trauma Evaluation and Management) course: Medical student knowledge gains and retention in the USA versus Ghana</t>
  </si>
  <si>
    <t>The care and transport of trauma victims by layperson emergency medical systems: A qualitative study in Delhi, India</t>
  </si>
  <si>
    <t>Animal-related injuries and fatalities: Evidence from a large-scale population-based cross-sectional survey in rural Bangladesh</t>
  </si>
  <si>
    <t>Bhuiyan MAA</t>
  </si>
  <si>
    <t>Evaluation of infection prevention and control readiness at frontline health care facilities in high-risk districts bordering Ebola virus disease-affected areas in the Democratic Republic of the Congo - Uganda, 2018</t>
  </si>
  <si>
    <t>Use of a modified bubble continuous positive airway pressure (bCPAP) device for children in respiratory distress in low- and middle-income countries: A safety study</t>
  </si>
  <si>
    <t>WHO guidance for refugees in camps: Systematic review</t>
  </si>
  <si>
    <t>Health care workers in the setting of the “Arab Spring”: A scoping review for the Lancet-AUB Commission on Syria</t>
  </si>
  <si>
    <t>Team Rubicon medical response to Hurricane Dorian in the Bahamas</t>
  </si>
  <si>
    <t>Boum Y 2nd</t>
  </si>
  <si>
    <t>Utility of clinical and laboratory decision rules in identifying bacterial meningitis among children with suspicion of central nervous system infections in a malaria-endemic area, Mbarara, Uganda</t>
  </si>
  <si>
    <t>Diagnosis and management of acute heart failure in Sub-Saharan Africa</t>
  </si>
  <si>
    <t>Prevalence, predictors, and successful treatment outcomes of Xpert MTB/RIF-identified rifampicin-resistant tuberculosis in post-conflict eastern Democratic Republic of the Congo, 2012–2017: A retrospective province-wide cohort study</t>
  </si>
  <si>
    <t>Myocarditis prevalence in paediatric dengue infection: A prospective study in tertiary hospital in Yogyakarta, Indonesia</t>
  </si>
  <si>
    <t>Developing emergency care systems: A human rights-based approach</t>
  </si>
  <si>
    <t>A 1-week intradermal dose-sparing regimen for rabies post-exposure prophylaxis (RESIST-2): An observational cohort study</t>
  </si>
  <si>
    <t>The effectiveness of ultrasound in the detection of fractures in adults with suspected upper or lower limb injury: A systematic review and subgroup meta-analysis</t>
  </si>
  <si>
    <t>The need to improve access to rabies post-exposure vaccines: Lessons from Tanzania</t>
  </si>
  <si>
    <t>Chen CC</t>
  </si>
  <si>
    <t>Effectiveness of a paediatric emergency medicine curriculum in a public Tanzanian referral hospital</t>
  </si>
  <si>
    <t xml:space="preserve">Patterns of somatic distress among internally displaced persons in Ukraine: Analysis of a cross-sectional survey
</t>
  </si>
  <si>
    <t>Chiesa V</t>
  </si>
  <si>
    <t>Health records for migrants and refugees: A systematic review</t>
  </si>
  <si>
    <t>Chowdhury MAB</t>
  </si>
  <si>
    <t>Am J Public Health</t>
  </si>
  <si>
    <t>Health impact of Hurricanes Irma and Maria on St Thomas and St John, US Virgin Islands, 2017-2018</t>
  </si>
  <si>
    <t>Rapid creation of an online discussion space (r/nipah) during a serious disease outbreak: Observational study</t>
  </si>
  <si>
    <t>Data collection tools for maternal and child health in humanitarian emergencies: An updated systematic review</t>
  </si>
  <si>
    <t>Pharmacological interventions for painful sickle cell vaso-occlusive crises in adults</t>
  </si>
  <si>
    <t>Cooper TE</t>
  </si>
  <si>
    <t>Coventry CA</t>
  </si>
  <si>
    <t>Surgical procedures performed by emergency medical teams in sudden-onset disasters: A systematic review</t>
  </si>
  <si>
    <t>Effects of tranexamic acid on death, disability, vascular occlusive events and other morbidities in patients with acute traumatic brain injury (CRASH-3): A randomised, placebo-controlled trial</t>
  </si>
  <si>
    <t>Centre for Research on the Epidemiology of Disasters</t>
  </si>
  <si>
    <t>Disasters 2018: Year in review</t>
  </si>
  <si>
    <t>Disasters in Africa: 20 year review (2000-2019*)</t>
  </si>
  <si>
    <t>Natural disasters 2018</t>
  </si>
  <si>
    <t>2018: Extreme weather events affected 60 million people</t>
  </si>
  <si>
    <t>United Nations Office for Disaster Risk Reduction</t>
  </si>
  <si>
    <t>Dare AJ</t>
  </si>
  <si>
    <t>Geospatial, racial, and educational variation in firearm mortality in the USA, Mexico, Brazil, and Colombia, 1990–2015: A comparative analysis of vital statistics data</t>
  </si>
  <si>
    <t>de Almeida MM</t>
  </si>
  <si>
    <t>Triage conducted by lay-staff and emergency training reduces paediatric mortality in the emergency department of a rural hospital in northern Mozambique</t>
  </si>
  <si>
    <t>Dennis ML</t>
  </si>
  <si>
    <t>A new approach to assess the capaility of health facilities to provide clinical care for sexual violence against women: A pilot study</t>
  </si>
  <si>
    <t>Review of subaxial cervical spine injuries presenting to a tertiary-level hospital in Nepal: Challenges in surgical management in a Third World scenario</t>
  </si>
  <si>
    <t>Human rabies post exposure prophylaxis at the Pasteur Institute of Dakar, Senegal: Trends and risk factors</t>
  </si>
  <si>
    <t>Faculty development program for emergency medicine physicians in India: A pilot program</t>
  </si>
  <si>
    <t>Structured on-the-job training to improve retention of newborn resuscitation skills: A national cohort Helping Babies Breathe study in Tanzania</t>
  </si>
  <si>
    <t>Tele-ECHO for point-of-care ultrasound in rural Kenya: A feasability study</t>
  </si>
  <si>
    <t>External injuries, trauma and avoidable deaths in Agincourt, South Africa: A retrospective observational qualitative study</t>
  </si>
  <si>
    <t>J Public Health</t>
  </si>
  <si>
    <t>The impact of EGDT on sepsis mortality in a single tertiary care center in Lebanon</t>
  </si>
  <si>
    <t>An evaluation of outcomes in patients with traumatic brain injury at a referral hospital in Tanzania: Evidence from a survival analysis</t>
  </si>
  <si>
    <t>The patient safety practices of emergency medical teams in disaster zones: A systematic analysis</t>
  </si>
  <si>
    <t>El-Khani U</t>
  </si>
  <si>
    <t>Healthcare under siege:  A qualitative study of health-worker responses to targeting and besiegement in Syria</t>
  </si>
  <si>
    <t>Botelho Filho FM</t>
  </si>
  <si>
    <t>Finette BA</t>
  </si>
  <si>
    <t>Development and initial validation of a frontline health worker mHealth assessment platform (MEDSINC®) for children 2-60 months of age</t>
  </si>
  <si>
    <t>Hepatitis B screening in an Argentine emergency department: A pilot study to increase vaccination in a resource-limited setting</t>
  </si>
  <si>
    <t>Forrester JD</t>
  </si>
  <si>
    <t>The golden hour after injury among civilians caught in conflict zones</t>
  </si>
  <si>
    <t>Freedman SB</t>
  </si>
  <si>
    <t>Oral ondansetron administration to dehydrated children in Pakistan: A randomized clinical trial</t>
  </si>
  <si>
    <t>Foreign body injuries in children in India: Recommendations for prevention from a comparative analysis with international experience</t>
  </si>
  <si>
    <t>Int J Ped Otorhinolaryngol</t>
  </si>
  <si>
    <t>Fustiñana AL</t>
  </si>
  <si>
    <t>Developing a novel mobile health (mHealth) tool to improve dehydration assessment and management in patients with acute diarrhea in resource-limited settings</t>
  </si>
  <si>
    <t>Gallagher KE</t>
  </si>
  <si>
    <t>The predictive performance of a pneumonia severity score in Human Immunodeficiency Virus-negative children presenting to hospital in 7 low- and middle-income countries</t>
  </si>
  <si>
    <t>The Malawi Trauma Score: A model for predicting trauma-associated mortality in a resource-poor setting</t>
  </si>
  <si>
    <t>Garben SC</t>
  </si>
  <si>
    <t>Effect of mass artesunate-amodiaquine distribution on mortality of patients With Ebola virus disease during West African outbreak</t>
  </si>
  <si>
    <t>Perceptions of leadership, motivation, structure, and assurance for implementation of Emergency Medical Services in Ethiopia: Perspectives of Emergency Medical Services Case teams based on focus group discussions</t>
  </si>
  <si>
    <t>Client satisfaction on emergency department services and quality of emergency medical care in Ethiopia: A systematic review</t>
  </si>
  <si>
    <t>Prevalence, pattern, magnitude and associated factors of trauma in the emergency department at health institutes in Ethiopia: A systematic review</t>
  </si>
  <si>
    <t>Grantz KH</t>
  </si>
  <si>
    <t>Factors influencing participation in an Ebola vaccine trial among frontline workers in Guinea</t>
  </si>
  <si>
    <t>Predictive validity of the qSOFA score for sepsis in adults with community-onset staphylococcal infection in Thailand</t>
  </si>
  <si>
    <t>Guzman IB</t>
  </si>
  <si>
    <t>Delays in arrival and treatment in emergency departments: Women, children and non-trauma consultations the most at risk in humanitarian settings</t>
  </si>
  <si>
    <t>Quality of health care for refugees - A systematic review</t>
  </si>
  <si>
    <t>Hamzy MA</t>
  </si>
  <si>
    <t>Access to top-cited emergency care articles (published between 2012 and 2016) without subscription</t>
  </si>
  <si>
    <t>Hargrave JM</t>
  </si>
  <si>
    <t>Blast injuries in children: A mixed-methods narrative review</t>
  </si>
  <si>
    <t>BMJ Paediatr Open</t>
  </si>
  <si>
    <t>Emergency airways after Himalayan black bear attacks in Bhutan</t>
  </si>
  <si>
    <t>Hazard RH</t>
  </si>
  <si>
    <t>Effect of empiric anti-Mycobacterium tuberculosis therapy on survival among human immunodeficiency virus-infected adults admitted with sepsis to a regional referral hospital in Uganda</t>
  </si>
  <si>
    <t>Child friendly spaces impact across five humanitarian settings: A meta-analysis</t>
  </si>
  <si>
    <t>A traumatic brain injury prognostic model to support in-hospital triage in a low-income country: A machine learning-based approach</t>
  </si>
  <si>
    <t>The burden of acute coronary syndrome, heart failure, and stroke among emergency department admissions in Tanzania: A retrospective observational study</t>
  </si>
  <si>
    <t>The burden of hypertension and diabetes in an emergency department in northern Tanzania</t>
  </si>
  <si>
    <t>Provider-perceived barriers to diagnosis and treatment of acute coronary syndrome in Tanzania: A qualitative study</t>
  </si>
  <si>
    <t>Chest ultrasound for the diagnosis of paediatric pulmonary diseases: A systematic review and meta-analysis of diagnostic test accuracy</t>
  </si>
  <si>
    <t>Evaluator perceptions of NGO performance in natural disasters: Meeting multiple institutional demands in nongovernmental humanitarian aid projects</t>
  </si>
  <si>
    <t>Intersectoral and integrated approaches in achieving the right to health for refugees on resettlement: A scoping review</t>
  </si>
  <si>
    <t>Gastroenteritis aggressive versus slow treatment for rehydration (GASTRO): A phase II rehydration trial for severe dehydration: WHO plan C versus slow rehydration</t>
  </si>
  <si>
    <t>Partners under pressure: Humanitarian action for the Syria crisis</t>
  </si>
  <si>
    <t>Humanitarian Practice Network</t>
  </si>
  <si>
    <t>Humanitarian Exchange</t>
  </si>
  <si>
    <t>Cardiac ultrasound in resource-limited settings (CURLS): Towards a wider use of basic echo applications in Africa</t>
  </si>
  <si>
    <t>Hussain AM</t>
  </si>
  <si>
    <t>Accidents in Iraq during the period of conflict (2003-2016)</t>
  </si>
  <si>
    <t>Hussein RH</t>
  </si>
  <si>
    <t>Diagnosis of acute kidney injury in children hospitalized in a sub-Saharan African unit by saliva urea nitrogen dipstick test</t>
  </si>
  <si>
    <t>Reality makes our decisions: Ethical challenges in humanitarian health in situations of extreme violence</t>
  </si>
  <si>
    <t>International Rescue Committee</t>
  </si>
  <si>
    <t>Everything on her shoulders: Rapid assessment on gender and violence against women and girls in the Ebola outbreak in Beni, DRC</t>
  </si>
  <si>
    <t>Current state of knowledge of basc life support in health professionals of the largest city in Pakistan: A cross-sectional study</t>
  </si>
  <si>
    <t>Iserson KV</t>
  </si>
  <si>
    <t>Black scorpion (Tityus obscurus) fatalities in Guyana and a literature review</t>
  </si>
  <si>
    <t>Hurtful Gifts? Trauma and growth transmission among local clinicians in postearthquake Haiti</t>
  </si>
  <si>
    <t>Health system resilience in the face of crisis: Analysing the challenges, strategies and capacities for UNRWA in Syria</t>
  </si>
  <si>
    <t>Jamal Z</t>
  </si>
  <si>
    <t>Frequency, clinical characteristics, biochemical findings and outcomes of DKA at the onset of type-1 DM in young children and adolescents living in a developing country - An experience from a pediatric emergency department</t>
  </si>
  <si>
    <t>Improving the science and evidence base of disaster response: A policy research study</t>
  </si>
  <si>
    <t>Johnston PF</t>
  </si>
  <si>
    <t>Integrating bleeding control training into surgical missions in low- and middle-income countries</t>
  </si>
  <si>
    <t>Comparison of trauma systems in Asian countries: A cross-sectional study</t>
  </si>
  <si>
    <t>Jung YH</t>
  </si>
  <si>
    <t>Are Primary Trauma Care (PTC) courses beneficial in low- and middle-income countries - A systematic review</t>
  </si>
  <si>
    <t>Kadhum M</t>
  </si>
  <si>
    <t>Emergency nurses´ knowledge, attitude and perceived barriers regarding pain anagement in resource-limited settings: Cross-sectional study</t>
  </si>
  <si>
    <t>The challenges and opportunities in disaster nursing education in Turkey</t>
  </si>
  <si>
    <t>Predictors of mortality in patients with yellow fever: An observational cohort study</t>
  </si>
  <si>
    <t>The impact of socioeconomic status on emergency department outcome in a low-income country setting: A registry-based analysis</t>
  </si>
  <si>
    <t>Kannan VC</t>
  </si>
  <si>
    <t>Karim HMR</t>
  </si>
  <si>
    <t>Noninvasive ventilation: Education and training. A narrative analysis and an international consensus document</t>
  </si>
  <si>
    <t>Oral rehydration in children with acute diarrhoea and moderate dehydration - Effectiveness of an ORS tolerance test</t>
  </si>
  <si>
    <t>The challenges of the health care providers in refugee settings: A systematic review</t>
  </si>
  <si>
    <t>Clinical REsearch During Outbreaks (CREDO) training for low- and middle-income countries</t>
  </si>
  <si>
    <t>Kayem ND</t>
  </si>
  <si>
    <t>Safety and efficacy of C-reactive protein-guided antibiotic use to treat acute respiratory infections in Tanzanian children: A planned subgroup analysis of a randomized controlled noninferiority trial evaluating a novel electronic clinical decision algorithm (ePOCT)</t>
  </si>
  <si>
    <t>Performance of prediction rules and guidelines in detecting serious bacterial infections among Tanzanian febrile children</t>
  </si>
  <si>
    <t>Audit of early mortality among patients admitted to the general medical ward at a district hospital in Botswana</t>
  </si>
  <si>
    <t>Keyes EB</t>
  </si>
  <si>
    <t>Geographic access to emergency obstetric services: A model incorporating patient bypassing using data from Mozambique</t>
  </si>
  <si>
    <t>Predictors of outcome after traumatic brain injuries: Experience of a tertiary health care institution in northwest India</t>
  </si>
  <si>
    <t>The management of diabetes in conflict settings: Focus on the Syrian crisis</t>
  </si>
  <si>
    <t>BMC Neurol</t>
  </si>
  <si>
    <t>Ischaemic stroke in Morocco: A systematic review</t>
  </si>
  <si>
    <t>How are clinicians treating children with sepsis in emergency departments in Latin America?: An international multicenter survey</t>
  </si>
  <si>
    <t>Cost analysis of the Mongolian ATLS© program: A framework for low- and middle-income countries</t>
  </si>
  <si>
    <t>Frequency, characteristics and hospital outcomes of road traffic accidents and their victims in Guinea: A three-year retrospective study from 2015 to 2017</t>
  </si>
  <si>
    <t>Spectrum, manifestations and outcomes of dengue infection in individuals with and without liver disease</t>
  </si>
  <si>
    <t>Profile of head injuries: Prehospital care, diagnosis, and severity in an Ethiopian tertiary hospital</t>
  </si>
  <si>
    <t>Health and health seeking in Mosul during ISIS control and liberation: Results from a 40-cluster household survey</t>
  </si>
  <si>
    <t>Laytin AD</t>
  </si>
  <si>
    <t>Anti-Ebola therapy for patients with Ebola virus disease: A systematic review</t>
  </si>
  <si>
    <t>Lee JS</t>
  </si>
  <si>
    <t>Population incidence and mortality of sepsis in an urban African setting 2013-2016</t>
  </si>
  <si>
    <t>Pre-hospital factors influencing time of arrival at emergency departments for patients with acute ST-elevation myocardial infarction</t>
  </si>
  <si>
    <t>Insufficient knowledge and inappropriate practices of emergency doctors towards tetanus prevention in trauma patients: A pilot survey</t>
  </si>
  <si>
    <t>Ilori EA</t>
  </si>
  <si>
    <t>Epidemiologic and clinical features of Lassa fever outbreak in Nigeria, January 1-May 6, 2018</t>
  </si>
  <si>
    <t>Traffic police officers' experience of post-crash care to road traffic injury victims: A qualitative study in Tanzania"</t>
  </si>
  <si>
    <t>Etiologies of acute undifferentiated febrile illness in Bangkok, Thailand</t>
  </si>
  <si>
    <t>Handheld point-of-care lactate measurement at admission predicts mortality in Ugandan children hospitalized with pneumonia: A prospective cohort study</t>
  </si>
  <si>
    <t>Tissue healing efficacy in burn patients treated with 1% silver sulfadiazine versus other treatments: A systematic review and meta-analysis of randomized controlled trials</t>
  </si>
  <si>
    <t>Maciel ABDS</t>
  </si>
  <si>
    <t>Mahmood HN</t>
  </si>
  <si>
    <t>Post-traumatic stress disorder and depression among Syrian refugees residing in the Kurdistan region of Iraq</t>
  </si>
  <si>
    <t>Disease status of Afghan refugees and migrants in Pakistan</t>
  </si>
  <si>
    <t>A comparison between the ability of Revised Trauma Score and Kampala Trauma Score in predicting mortality; a meta-analysis</t>
  </si>
  <si>
    <t>Marombwa NR</t>
  </si>
  <si>
    <t>Mayer B</t>
  </si>
  <si>
    <t>A review of the literature on community resilience and disaster recovery</t>
  </si>
  <si>
    <t>Infectious disease outbreaks in the African region: Overview of events reported to the World Health Organization in 2018</t>
  </si>
  <si>
    <t>Bubble continuous positive airway pressure for children with high-risk conditions and severe pneumonia in Malawi: An open label, randomised, controlled trial</t>
  </si>
  <si>
    <t>Knowledge acquisition and retention following Saving Children's Lives course for healthcare providers in Botswana: A longitudinal cohort study</t>
  </si>
  <si>
    <t>Critical requirements for nursing practice in rural disasters caused by floods</t>
  </si>
  <si>
    <t>Short- and longer-term impacts of Child Friendly Space interventions in Rwamwanja Refugee Settlement, Uganda</t>
  </si>
  <si>
    <t>Head and neck trauma in a rapidly growing African metropolis: A two-year audit of hospital admissions</t>
  </si>
  <si>
    <t>Helicopter critical care retrieval in a developing country: A trauma case series from Bhutan</t>
  </si>
  <si>
    <t>Rapid diagnosis of parasitic diseases: Current scenario and future needs</t>
  </si>
  <si>
    <t>IRC needs assessment report: Mexico-northern border</t>
  </si>
  <si>
    <t>Emergency medical services in Ethiopia: Drivers, challenges and opportunities</t>
  </si>
  <si>
    <t>The preparedness of hospital emergency departments for responding to disasters in Iran; A systematic review and meta-analysis</t>
  </si>
  <si>
    <t>Emergency care surveillance and emergency care registries in low-income and middle-income countries: Conceptual challenges and future directions for research</t>
  </si>
  <si>
    <t>Complicated delivery: The Yemeni mothers and children dying without medical care</t>
  </si>
  <si>
    <t>Médecins Sans Frontières</t>
  </si>
  <si>
    <t>Trends in demographics and surgical treatment of weapon-related limb injuries over two decades in a resource-scarce setting</t>
  </si>
  <si>
    <t>Muldoon LB</t>
  </si>
  <si>
    <t>Collecting unused medical supplies in emergency departments for responsible redistribution</t>
  </si>
  <si>
    <t>Feasibility of training clinical officers in point-of-care ultrasound for pediatric respiratory diseases in Aweil, South Sudan</t>
  </si>
  <si>
    <t>Nariadhara MR</t>
  </si>
  <si>
    <t>Leadership in limbo: Characteristics of successful incident commanders in health</t>
  </si>
  <si>
    <t>The epidemiology of sepsis in a district hospital emergency centre in Durban, KwaZulu Natal</t>
  </si>
  <si>
    <t>Epidemiology of trauma patients from the Mosul offensive, 2016-2017: Results from a dedicated trauma center in Erbil, Iraqi Kurdistan</t>
  </si>
  <si>
    <t>Newberry JA</t>
  </si>
  <si>
    <t>A profile of traumatic injury in the prehospital setting in India: A prospective observational study across seven states</t>
  </si>
  <si>
    <t>Nicol ED</t>
  </si>
  <si>
    <t>Aeromedical transfer of patients with viral hemorrhagic fever</t>
  </si>
  <si>
    <t>IRC Needs assessment report: Burkina Faso – Sahel Region (Djibo town)</t>
  </si>
  <si>
    <t>Okumu MO</t>
  </si>
  <si>
    <t xml:space="preserve">Management and cost of snakebite injuries at a teaching and referral hospital in Western Kenya </t>
  </si>
  <si>
    <t>F1000Res</t>
  </si>
  <si>
    <t>Telemedicine for neurotrauma prevents unnecessary transfers: An update from a nationwide program in Albania and analysis of 590 patients</t>
  </si>
  <si>
    <t>A checklist for trauma quality improvement meetings: A process improvement study</t>
  </si>
  <si>
    <t>Oshomah-Bello EO</t>
  </si>
  <si>
    <t>Acute kidney injury in children with severe malaria is common and associated with adverse hospital outcomes</t>
  </si>
  <si>
    <t>Rev Neurol</t>
  </si>
  <si>
    <t>Point-of-care diagnostics: Needs of African health care workers and their role combating global antimicrobial resistance</t>
  </si>
  <si>
    <t>J Spinal Cord Med</t>
  </si>
  <si>
    <t>Profile of patients with spinal cord injuries in Kwazulu-Natal, South Africa: Implications for vocational rehabilitation</t>
  </si>
  <si>
    <t>Characteristics and outcomes of acetaminophen overdose and hepatotoxicity in Thailand</t>
  </si>
  <si>
    <t>Algorithm in the diagnosis of febrile illness using pathogen-specific rapid diagnostic tests</t>
  </si>
  <si>
    <t>Poojari PG</t>
  </si>
  <si>
    <t>A global overview of poison treatment apps and databases</t>
  </si>
  <si>
    <t>Point of care Xpert MTB/RIF versus smear microscopy for tuberculosis diagnosis in southern African primary care clinics: A multicentre economic evaluation</t>
  </si>
  <si>
    <t>Qin ZZ</t>
  </si>
  <si>
    <t>Rahman N'A</t>
  </si>
  <si>
    <t>Global, regional and national burden of emergency medical diseases using specific emergency disease indicators: Analysis of the 2015 Global Burden of Disease Study</t>
  </si>
  <si>
    <t>Puchalski Ritchie LM</t>
  </si>
  <si>
    <t>Barriers to and facilitators of the development and utilization of context appropriate evidence based clinical algorithms to optimize clinical care and patient outcomes in the Tikur Anbessa emergency department: A multi-component qualitative study</t>
  </si>
  <si>
    <t>Comparison between the identification of seniors at risk and triage risk screening tool in predicting mortality of older adults visiting the emergency department: Results from Indonesia</t>
  </si>
  <si>
    <t>Mental health care utilisation among internally displaced persons in Ukraine: Results from a nation-wide survey</t>
  </si>
  <si>
    <t>The global need and availability of blood products: A modelling study</t>
  </si>
  <si>
    <t>Four delays of child mortality in Rwanda: A mixed methods analysis of verbal social autopsies</t>
  </si>
  <si>
    <t>PeerJ</t>
  </si>
  <si>
    <t>Characterization of dengue cases among patients with an acute illness, Central Department, Paraguay</t>
  </si>
  <si>
    <t>Rosman SL</t>
  </si>
  <si>
    <t>Provisional validation of a Pediatric Early Warning Score for resource-limited settings</t>
  </si>
  <si>
    <t>Literature review: Strategies for addressing language barriers during humanitarian relief operations</t>
  </si>
  <si>
    <t>Epidemiology of traumatic injuries presenting to an ED in central Haiti: A retrospective cohort study</t>
  </si>
  <si>
    <t>Rouhani SA</t>
  </si>
  <si>
    <t>Skin disease profile of Syrian refugees in Jordan: A field-mission assessment</t>
  </si>
  <si>
    <t>Better ground work can avoid troubled waters: A developing country perspective on drowning</t>
  </si>
  <si>
    <t>The neutralization efficacy of expired polyvalent antivenoms: An alternative option</t>
  </si>
  <si>
    <t>Sanchez EE</t>
  </si>
  <si>
    <t>Effect of a training strategy in improving medication fallacies during pediatric cardiopulmonary resuscitation: A before-and-after study From a developing country</t>
  </si>
  <si>
    <t>Acute phase proteins and IP-10 as triage tests for the diagnosis of tuberculosis: Systematic review and meta-analysis</t>
  </si>
  <si>
    <t>Upper extremity burns in the developing world: A neglected epidemic</t>
  </si>
  <si>
    <t>Sasor SE</t>
  </si>
  <si>
    <t>Development and implementation of short courses to support the establishment of a prehospital system in sub-Saharan Africa: Lessons learned from Tanzania</t>
  </si>
  <si>
    <t>Emergency medicine residency training in Africa: Overview of curriculum</t>
  </si>
  <si>
    <t>A prospective comparison of quick sequential organ failure assessment, systemic inflammatory response syndrome criteria, universal vital assessment, and modified early warning score to predict mortality in patients with suspected infection in Gabon</t>
  </si>
  <si>
    <t>Bacteremia in childhood life-threatening infections in urban Gambia: EUCLIDS in West Africa</t>
  </si>
  <si>
    <t>Child abuse in natural disasters and conflicts: A systematic review</t>
  </si>
  <si>
    <t>Seo DH</t>
  </si>
  <si>
    <t>Status of emergency signal functions in Myanmar hospitals: A cross-sectional survey</t>
  </si>
  <si>
    <t>Sharestanaki YA</t>
  </si>
  <si>
    <t>Evaluation of a new goal‐directed training curriculum for point‐of‐care ultrasound in the emergency department: Impact on physician self‐confidence and ultrasound skills</t>
  </si>
  <si>
    <t>Assessment of point-of-care ultrasound training for clinical educators in Malawi, Tanzania and Uganda</t>
  </si>
  <si>
    <t>Accuracy of resident-performed point-of-care lung ultrasound examinations versus chest radiography in pneumothorax follow-up after tube thoracostomy in Rwanda</t>
  </si>
  <si>
    <t>Skinner DL</t>
  </si>
  <si>
    <t>Hyperlactataemia with acute kidney injury following community assault: Cause or effect?</t>
  </si>
  <si>
    <t>Smith KA</t>
  </si>
  <si>
    <t>Immunogenicity of full and fractional dose of inactivated poliovirus vaccine for use in routine immunisation and outbreak response: An open-label, randomised controlled trial</t>
  </si>
  <si>
    <t>Sotunsa JO</t>
  </si>
  <si>
    <t>Maternal near-miss and death among women with postpartum haemorrhage: A secondary analysis of the Nigeria near-miss and maternal death survey</t>
  </si>
  <si>
    <t>BJOG</t>
  </si>
  <si>
    <t>Safety and security in international humanitarian missions - Assessing the stress level of responders in critical situations during a realistic full-scale training</t>
  </si>
  <si>
    <t>Responding to epidemics in large-scale humanitarian crises: A case study of the cholera response in Yemen, 2016-2018</t>
  </si>
  <si>
    <t>Predictors of in-hospital cardiac arrest within 24 h after emergency department triage: A case-control study in urban Thailand</t>
  </si>
  <si>
    <t>Trauma care and development assistance: Opportunities to reduce the burden of injury and strengthen health systems</t>
  </si>
  <si>
    <t>Validation of the PRESTO score in injured children in a South-African quaternary trauma center</t>
  </si>
  <si>
    <t>Suarez S</t>
  </si>
  <si>
    <t>Uterine balloon tamponade for the treatment of postpartum hemorrhage: A systematic review and meta-analysis</t>
  </si>
  <si>
    <t>Ann Am Thorac Soc</t>
  </si>
  <si>
    <t>Decreased mortality after establishing a pediatric emergency unit at an urban referral hospital in Ghana</t>
  </si>
  <si>
    <t>Short-course primaquine for the radical cure of Plasmodium vivax malaria: A multicentre, randomised, placebo-controlled non-inferiority trial</t>
  </si>
  <si>
    <t>Results from a World Health Organization pilot of the Basic Emergency Care course in Sub Saharan Africa</t>
  </si>
  <si>
    <t>Thomson IK</t>
  </si>
  <si>
    <t>Management of paediatric burns in low- and middle-income countries: Assessing capacity using the World Health Organization Surgical Assessment Tool</t>
  </si>
  <si>
    <t>Clinical features of rabies patients with abnormal sexual behaviors as the presenting manifestations: A case report and literature review</t>
  </si>
  <si>
    <t>Impact of the primary trauma care course in the Kongo Central Province of the Democratic Republic of Congo over two years</t>
  </si>
  <si>
    <t>Tounsi LL</t>
  </si>
  <si>
    <t>Association between gender, surgery and mortality for patients treated at Médecins Sans Frontières Trauma Centre in Kunduz, Afghanistan</t>
  </si>
  <si>
    <t>Putting culture into prehospital emergency care: A systematic narrative review of literature from lower middle-income countries</t>
  </si>
  <si>
    <t>Baseline study on disaster recovery in Africa: Trainsitioning from relief to recovery</t>
  </si>
  <si>
    <t>United Nations Development Programme</t>
  </si>
  <si>
    <t>Saving maternal and newborn lives in refugee settings: Summary of project extension baseline assessment</t>
  </si>
  <si>
    <t>United Nations High Commissioner for Refugees</t>
  </si>
  <si>
    <t>Assistance to refugees, returnees and displaced persons in Africa: Report of the Secretary-General</t>
  </si>
  <si>
    <t>Brief report: Real-world performance and interobserver agreement of urine lipoarabinomannan in diagnosing HIV-associated tuberculosis in an emergency center</t>
  </si>
  <si>
    <t>Prevalence and management of septic shock among children admitted at the Kenyatta National Hospital, longitudinal survey</t>
  </si>
  <si>
    <t>Helping Babies Breathe and its effects on intrapartum-related stillbirths and neonatal mortality in low-resource settings: A systematic review</t>
  </si>
  <si>
    <t>Targeted point-of-care testing compared with syndromic management of urogenital infections in women (WISH): A cross-sectional screening and diagnostic accuracy study</t>
  </si>
  <si>
    <t>Ranking the attributes of effective disaster responders and leaders</t>
  </si>
  <si>
    <t>Walldorf JA</t>
  </si>
  <si>
    <t>Considerations for use of Ebola vaccine during an emergency response</t>
  </si>
  <si>
    <t>Wang YX</t>
  </si>
  <si>
    <t>Clinical characteristics and outcome of children hospitalized with scrub typhus in an area of endemicity</t>
  </si>
  <si>
    <t>Emergency care systems for universal health coverage: Ensuring timely care for the acutely ill and injured</t>
  </si>
  <si>
    <t>World Health Organization</t>
  </si>
  <si>
    <t>Health emergency and disaster risk management framework</t>
  </si>
  <si>
    <t>Clinical management of severe acute respiratory infection when Middle East respiratory syndrome coronavirus (MERS-CoV) infection is suspected: Interim guidance</t>
  </si>
  <si>
    <t>Winders WT</t>
  </si>
  <si>
    <t>Shah Jahan MY</t>
  </si>
  <si>
    <t>Hyaluronidase-assisted resuscitation in Kenya for severely dehydrated children</t>
  </si>
  <si>
    <r>
      <rPr>
        <b/>
        <sz val="11"/>
        <rFont val="Calibri"/>
        <family val="2"/>
      </rPr>
      <t xml:space="preserve">DATA SUPPLEMENT S2. </t>
    </r>
    <r>
      <rPr>
        <sz val="11"/>
        <rFont val="Calibri"/>
        <family val="2"/>
      </rPr>
      <t>Complete database of all 356 identified global EM articles for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</si>
</sst>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0"/>
      <color rgb="FF000000"/>
      <name val="Arial"/>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scheme val="minor"/>
    </font>
    <font>
      <sz val="11"/>
      <color theme="1"/>
      <name val="Arial"/>
      <family val="2"/>
    </font>
    <font>
      <sz val="11"/>
      <color rgb="FF000000"/>
      <name val="Arial"/>
      <family val="2"/>
    </font>
    <font>
      <sz val="11"/>
      <color rgb="FF000000"/>
      <name val="Arial"/>
      <family val="2"/>
      <scheme val="minor"/>
    </font>
    <font>
      <sz val="11"/>
      <name val="Arial"/>
      <family val="2"/>
      <scheme val="minor"/>
    </font>
    <font>
      <u/>
      <sz val="10"/>
      <color theme="10"/>
      <name val="Arial"/>
      <family val="2"/>
    </font>
    <font>
      <sz val="10"/>
      <name val="Verdana"/>
      <family val="2"/>
    </font>
    <font>
      <sz val="11"/>
      <name val="Arial"/>
      <family val="2"/>
    </font>
    <font>
      <u/>
      <sz val="11"/>
      <color theme="10"/>
      <name val="Arial"/>
      <family val="2"/>
      <scheme val="minor"/>
    </font>
    <font>
      <sz val="11"/>
      <color indexed="8"/>
      <name val="Calibri"/>
      <family val="2"/>
    </font>
    <font>
      <sz val="11"/>
      <color theme="1"/>
      <name val="Arial"/>
      <family val="2"/>
    </font>
    <font>
      <sz val="11"/>
      <color rgb="FF000000"/>
      <name val="Arial"/>
      <family val="2"/>
    </font>
    <font>
      <sz val="11"/>
      <name val="Arial"/>
      <family val="2"/>
    </font>
    <font>
      <sz val="11"/>
      <name val="Calibri"/>
      <family val="2"/>
    </font>
    <font>
      <b/>
      <sz val="11"/>
      <name val="Calibri"/>
      <family val="2"/>
    </font>
    <font>
      <sz val="10"/>
      <color rgb="FF000000"/>
      <name val="Arial"/>
      <family val="2"/>
    </font>
  </fonts>
  <fills count="9">
    <fill>
      <patternFill patternType="none"/>
    </fill>
    <fill>
      <patternFill patternType="gray125"/>
    </fill>
    <fill>
      <patternFill patternType="solid">
        <fgColor rgb="FFCCFFCC"/>
        <bgColor rgb="FFCCFFCC"/>
      </patternFill>
    </fill>
    <fill>
      <patternFill patternType="solid">
        <fgColor rgb="FFCCFFCC"/>
        <bgColor indexed="64"/>
      </patternFill>
    </fill>
    <fill>
      <patternFill patternType="solid">
        <fgColor indexed="42"/>
        <bgColor indexed="64"/>
      </patternFill>
    </fill>
    <fill>
      <patternFill patternType="solid">
        <fgColor theme="0" tint="-0.249977111117893"/>
        <bgColor indexed="64"/>
      </patternFill>
    </fill>
    <fill>
      <patternFill patternType="solid">
        <fgColor rgb="FFBFBFBF"/>
        <bgColor rgb="FF000000"/>
      </patternFill>
    </fill>
    <fill>
      <patternFill patternType="solid">
        <fgColor rgb="FFBFBFBF"/>
        <bgColor rgb="FFBFBFBF"/>
      </patternFill>
    </fill>
    <fill>
      <patternFill patternType="solid">
        <fgColor indexed="44"/>
        <bgColor indexed="64"/>
      </patternFill>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2">
    <xf numFmtId="0" fontId="0" fillId="0" borderId="0"/>
    <xf numFmtId="0" fontId="21" fillId="0" borderId="0" applyNumberFormat="0" applyFill="0" applyBorder="0" applyAlignment="0" applyProtection="0"/>
    <xf numFmtId="0" fontId="22" fillId="0" borderId="3"/>
    <xf numFmtId="0" fontId="15" fillId="0" borderId="3"/>
    <xf numFmtId="0" fontId="24" fillId="0" borderId="3" applyNumberFormat="0" applyFill="0" applyBorder="0" applyAlignment="0" applyProtection="0"/>
    <xf numFmtId="0" fontId="14" fillId="0" borderId="3"/>
    <xf numFmtId="0" fontId="25" fillId="0" borderId="3" applyNumberFormat="0" applyFill="0" applyBorder="0" applyProtection="0"/>
    <xf numFmtId="0" fontId="13" fillId="0" borderId="3"/>
    <xf numFmtId="0" fontId="12" fillId="0" borderId="3"/>
    <xf numFmtId="0" fontId="26" fillId="0" borderId="3"/>
    <xf numFmtId="0" fontId="11" fillId="0" borderId="3"/>
    <xf numFmtId="0" fontId="31" fillId="0" borderId="3"/>
  </cellStyleXfs>
  <cellXfs count="162">
    <xf numFmtId="0" fontId="0" fillId="0" borderId="0" xfId="0" applyFont="1" applyAlignment="1"/>
    <xf numFmtId="0" fontId="19" fillId="0" borderId="0" xfId="0" applyFont="1" applyAlignment="1">
      <alignment wrapText="1"/>
    </xf>
    <xf numFmtId="0" fontId="19" fillId="0" borderId="0" xfId="0" applyFont="1" applyAlignment="1">
      <alignment horizontal="left" vertical="top" wrapText="1"/>
    </xf>
    <xf numFmtId="0" fontId="19" fillId="0" borderId="0" xfId="0" applyFont="1" applyAlignment="1"/>
    <xf numFmtId="0" fontId="20" fillId="0" borderId="0" xfId="0" applyFont="1" applyAlignment="1">
      <alignment horizontal="center" vertical="center"/>
    </xf>
    <xf numFmtId="0" fontId="20" fillId="4" borderId="0" xfId="0" applyFont="1" applyFill="1" applyAlignment="1">
      <alignment horizontal="center" vertical="center"/>
    </xf>
    <xf numFmtId="0" fontId="20" fillId="3" borderId="0" xfId="0" applyFont="1" applyFill="1" applyAlignment="1">
      <alignment horizontal="center" vertical="center"/>
    </xf>
    <xf numFmtId="0" fontId="20" fillId="0" borderId="0" xfId="0" applyFont="1"/>
    <xf numFmtId="1" fontId="20" fillId="0" borderId="0" xfId="0" applyNumberFormat="1" applyFont="1" applyAlignment="1">
      <alignment horizontal="center" vertical="center"/>
    </xf>
    <xf numFmtId="0" fontId="20" fillId="2" borderId="0" xfId="0" applyFont="1" applyFill="1" applyAlignment="1">
      <alignment horizontal="center" vertical="center"/>
    </xf>
    <xf numFmtId="0" fontId="20" fillId="0" borderId="3" xfId="0" applyFont="1" applyBorder="1" applyAlignment="1">
      <alignment horizontal="center" vertical="center"/>
    </xf>
    <xf numFmtId="0" fontId="20" fillId="5" borderId="0" xfId="0" applyFont="1" applyFill="1" applyAlignment="1">
      <alignment horizontal="center" vertical="center"/>
    </xf>
    <xf numFmtId="0" fontId="20" fillId="5" borderId="3" xfId="0" applyFont="1" applyFill="1" applyBorder="1" applyAlignment="1">
      <alignment horizontal="center" vertical="center"/>
    </xf>
    <xf numFmtId="0" fontId="17" fillId="0" borderId="1" xfId="5" applyFont="1" applyBorder="1" applyAlignment="1">
      <alignment horizontal="left" wrapText="1"/>
    </xf>
    <xf numFmtId="0" fontId="17" fillId="0" borderId="3" xfId="5" applyFont="1"/>
    <xf numFmtId="0" fontId="17" fillId="0" borderId="3" xfId="5" applyFont="1" applyAlignment="1">
      <alignment vertical="top"/>
    </xf>
    <xf numFmtId="0" fontId="23" fillId="0" borderId="3" xfId="5" applyFont="1" applyAlignment="1">
      <alignment vertical="top"/>
    </xf>
    <xf numFmtId="0" fontId="23" fillId="3" borderId="3" xfId="5" applyFont="1" applyFill="1" applyAlignment="1">
      <alignment horizontal="center" vertical="center"/>
    </xf>
    <xf numFmtId="0" fontId="23" fillId="5" borderId="3" xfId="5" applyFont="1" applyFill="1" applyAlignment="1">
      <alignment horizontal="center" vertical="center"/>
    </xf>
    <xf numFmtId="0" fontId="17" fillId="0" borderId="3" xfId="5" applyFont="1" applyAlignment="1">
      <alignment vertical="top" wrapText="1"/>
    </xf>
    <xf numFmtId="0" fontId="17" fillId="0" borderId="3" xfId="7" applyFont="1" applyAlignment="1">
      <alignment vertical="top"/>
    </xf>
    <xf numFmtId="0" fontId="23" fillId="0" borderId="3" xfId="7" applyFont="1"/>
    <xf numFmtId="0" fontId="23" fillId="4" borderId="3" xfId="7" applyFont="1" applyFill="1" applyAlignment="1">
      <alignment horizontal="center" vertical="center"/>
    </xf>
    <xf numFmtId="0" fontId="23" fillId="5" borderId="3" xfId="7" applyFont="1" applyFill="1" applyAlignment="1">
      <alignment horizontal="center" vertical="center"/>
    </xf>
    <xf numFmtId="0" fontId="17" fillId="0" borderId="3" xfId="7" applyFont="1" applyAlignment="1">
      <alignment vertical="top" wrapText="1"/>
    </xf>
    <xf numFmtId="0" fontId="23" fillId="0" borderId="3" xfId="8" applyFont="1" applyAlignment="1">
      <alignment vertical="top"/>
    </xf>
    <xf numFmtId="0" fontId="18" fillId="0" borderId="3" xfId="8" applyFont="1" applyAlignment="1">
      <alignment vertical="top" wrapText="1"/>
    </xf>
    <xf numFmtId="0" fontId="27" fillId="0" borderId="3" xfId="9" applyFont="1"/>
    <xf numFmtId="0" fontId="26" fillId="0" borderId="3" xfId="9" applyAlignment="1">
      <alignment vertical="top"/>
    </xf>
    <xf numFmtId="0" fontId="26" fillId="7" borderId="3" xfId="9" applyFill="1" applyAlignment="1">
      <alignment horizontal="center" vertical="center"/>
    </xf>
    <xf numFmtId="0" fontId="28" fillId="2" borderId="3" xfId="9" applyFont="1" applyFill="1" applyAlignment="1">
      <alignment horizontal="center" vertical="center"/>
    </xf>
    <xf numFmtId="0" fontId="17" fillId="0" borderId="3" xfId="10" applyFont="1" applyAlignment="1">
      <alignment vertical="top"/>
    </xf>
    <xf numFmtId="0" fontId="17" fillId="0" borderId="3" xfId="10" applyFont="1" applyAlignment="1">
      <alignment vertical="top" wrapText="1"/>
    </xf>
    <xf numFmtId="0" fontId="23" fillId="0" borderId="3" xfId="5" applyFont="1" applyFill="1" applyAlignment="1">
      <alignment horizontal="center" vertical="center"/>
    </xf>
    <xf numFmtId="0" fontId="23" fillId="0" borderId="3" xfId="7" applyFont="1" applyFill="1" applyAlignment="1">
      <alignment horizontal="center" vertical="center"/>
    </xf>
    <xf numFmtId="0" fontId="28" fillId="0" borderId="3" xfId="9" applyFont="1" applyFill="1" applyAlignment="1">
      <alignment horizontal="center" vertical="center"/>
    </xf>
    <xf numFmtId="0" fontId="17" fillId="0" borderId="1" xfId="5" applyFont="1" applyBorder="1" applyAlignment="1">
      <alignment horizontal="center" vertical="center" wrapText="1"/>
    </xf>
    <xf numFmtId="1" fontId="17" fillId="0" borderId="1" xfId="5" applyNumberFormat="1" applyFont="1" applyBorder="1" applyAlignment="1">
      <alignment horizontal="center" vertical="center" wrapText="1"/>
    </xf>
    <xf numFmtId="0" fontId="17" fillId="2" borderId="1" xfId="5" applyFont="1" applyFill="1" applyBorder="1" applyAlignment="1">
      <alignment horizontal="center" vertical="center" wrapText="1"/>
    </xf>
    <xf numFmtId="0" fontId="17" fillId="0" borderId="1" xfId="5" applyFont="1" applyFill="1" applyBorder="1" applyAlignment="1">
      <alignment horizontal="center" vertical="center" wrapText="1"/>
    </xf>
    <xf numFmtId="0" fontId="17" fillId="0" borderId="3" xfId="5" applyFont="1" applyAlignment="1">
      <alignment horizontal="center" vertical="center"/>
    </xf>
    <xf numFmtId="0" fontId="17" fillId="2" borderId="3" xfId="5" applyFont="1" applyFill="1" applyAlignment="1">
      <alignment horizontal="center" vertical="center"/>
    </xf>
    <xf numFmtId="0" fontId="17" fillId="0" borderId="3" xfId="5" applyFont="1" applyFill="1" applyAlignment="1">
      <alignment horizontal="center" vertical="center"/>
    </xf>
    <xf numFmtId="0" fontId="17" fillId="5" borderId="3" xfId="5" applyFont="1" applyFill="1" applyAlignment="1">
      <alignment horizontal="center" vertical="center"/>
    </xf>
    <xf numFmtId="0" fontId="17" fillId="5" borderId="3" xfId="5" applyFont="1" applyFill="1" applyAlignment="1">
      <alignment horizontal="center" vertical="center" wrapText="1"/>
    </xf>
    <xf numFmtId="0" fontId="17" fillId="0" borderId="3" xfId="5" applyFont="1" applyFill="1" applyAlignment="1">
      <alignment horizontal="center" vertical="center" wrapText="1"/>
    </xf>
    <xf numFmtId="0" fontId="17" fillId="2" borderId="3" xfId="5" applyFont="1" applyFill="1" applyAlignment="1">
      <alignment horizontal="center" vertical="center" wrapText="1"/>
    </xf>
    <xf numFmtId="0" fontId="17" fillId="2" borderId="3" xfId="7" applyFont="1" applyFill="1" applyAlignment="1">
      <alignment horizontal="center" vertical="center"/>
    </xf>
    <xf numFmtId="0" fontId="17" fillId="0" borderId="3" xfId="7" applyFont="1" applyFill="1" applyAlignment="1">
      <alignment horizontal="center" vertical="center"/>
    </xf>
    <xf numFmtId="0" fontId="17" fillId="5" borderId="3" xfId="7" applyFont="1" applyFill="1" applyAlignment="1">
      <alignment horizontal="center" vertical="center"/>
    </xf>
    <xf numFmtId="0" fontId="17" fillId="5" borderId="3" xfId="7" applyFont="1" applyFill="1" applyAlignment="1">
      <alignment horizontal="center" vertical="center" wrapText="1"/>
    </xf>
    <xf numFmtId="0" fontId="17" fillId="0" borderId="3" xfId="7" applyFont="1" applyFill="1" applyAlignment="1">
      <alignment horizontal="center" vertical="center" wrapText="1"/>
    </xf>
    <xf numFmtId="0" fontId="17" fillId="2" borderId="3" xfId="7" applyFont="1" applyFill="1" applyAlignment="1">
      <alignment horizontal="center" vertical="center" wrapText="1"/>
    </xf>
    <xf numFmtId="0" fontId="23" fillId="2" borderId="3" xfId="8" applyFont="1" applyFill="1" applyAlignment="1">
      <alignment horizontal="center" vertical="center"/>
    </xf>
    <xf numFmtId="0" fontId="23" fillId="0" borderId="3" xfId="8" applyFont="1" applyFill="1" applyAlignment="1">
      <alignment horizontal="center" vertical="center"/>
    </xf>
    <xf numFmtId="0" fontId="23" fillId="6" borderId="3" xfId="8" applyFont="1" applyFill="1" applyAlignment="1">
      <alignment horizontal="center" vertical="center"/>
    </xf>
    <xf numFmtId="0" fontId="18" fillId="6" borderId="3" xfId="8" applyFont="1" applyFill="1" applyAlignment="1">
      <alignment horizontal="center" vertical="center" wrapText="1"/>
    </xf>
    <xf numFmtId="0" fontId="18" fillId="0" borderId="3" xfId="8" applyFont="1" applyFill="1" applyAlignment="1">
      <alignment horizontal="center" vertical="center" wrapText="1"/>
    </xf>
    <xf numFmtId="0" fontId="18" fillId="2" borderId="3" xfId="8" applyFont="1" applyFill="1" applyAlignment="1">
      <alignment horizontal="center" vertical="center" wrapText="1"/>
    </xf>
    <xf numFmtId="0" fontId="17" fillId="2" borderId="3" xfId="10" applyFont="1" applyFill="1" applyAlignment="1">
      <alignment horizontal="center" vertical="center"/>
    </xf>
    <xf numFmtId="0" fontId="17" fillId="0" borderId="3" xfId="10" applyFont="1" applyFill="1" applyAlignment="1">
      <alignment horizontal="center" vertical="center"/>
    </xf>
    <xf numFmtId="0" fontId="17" fillId="5" borderId="3" xfId="10" applyFont="1" applyFill="1" applyAlignment="1">
      <alignment horizontal="center" vertical="center"/>
    </xf>
    <xf numFmtId="0" fontId="17" fillId="5" borderId="3" xfId="10" applyFont="1" applyFill="1" applyAlignment="1">
      <alignment horizontal="center" vertical="center" wrapText="1"/>
    </xf>
    <xf numFmtId="0" fontId="17" fillId="0" borderId="3" xfId="10" applyFont="1" applyFill="1" applyAlignment="1">
      <alignment horizontal="center" vertical="center" wrapText="1"/>
    </xf>
    <xf numFmtId="0" fontId="17" fillId="2" borderId="3" xfId="10" applyFont="1" applyFill="1" applyAlignment="1">
      <alignment horizontal="center" vertical="center" wrapText="1"/>
    </xf>
    <xf numFmtId="0" fontId="17" fillId="3" borderId="3" xfId="5" applyFont="1" applyFill="1" applyAlignment="1">
      <alignment horizontal="center" vertical="center"/>
    </xf>
    <xf numFmtId="0" fontId="19" fillId="0" borderId="0" xfId="0" applyFont="1" applyAlignment="1">
      <alignment vertical="center" wrapText="1"/>
    </xf>
    <xf numFmtId="0" fontId="19" fillId="0" borderId="0" xfId="0" applyFont="1" applyAlignment="1">
      <alignment horizontal="center" vertical="center"/>
    </xf>
    <xf numFmtId="0" fontId="19" fillId="0" borderId="0" xfId="0" applyFont="1" applyAlignment="1">
      <alignment horizontal="center" vertical="center" wrapText="1"/>
    </xf>
    <xf numFmtId="1" fontId="19" fillId="0" borderId="0" xfId="0" applyNumberFormat="1" applyFont="1" applyAlignment="1">
      <alignment horizontal="center" vertical="center" wrapText="1"/>
    </xf>
    <xf numFmtId="0" fontId="19" fillId="2" borderId="0" xfId="0" applyFont="1" applyFill="1" applyAlignment="1">
      <alignment horizontal="center" vertical="center" wrapText="1"/>
    </xf>
    <xf numFmtId="0" fontId="19" fillId="3" borderId="0" xfId="0" applyFont="1" applyFill="1" applyAlignment="1">
      <alignment horizontal="center" vertical="center" wrapText="1"/>
    </xf>
    <xf numFmtId="0" fontId="19" fillId="5" borderId="0" xfId="0" applyFont="1" applyFill="1" applyAlignment="1">
      <alignment horizontal="center" vertical="center" wrapText="1"/>
    </xf>
    <xf numFmtId="0" fontId="10" fillId="0" borderId="1" xfId="0" applyFont="1" applyBorder="1" applyAlignment="1">
      <alignment horizontal="left" vertical="center" wrapText="1"/>
    </xf>
    <xf numFmtId="0" fontId="20" fillId="0" borderId="0" xfId="2" applyFont="1" applyBorder="1" applyAlignment="1">
      <alignment horizontal="center" vertical="center"/>
    </xf>
    <xf numFmtId="0" fontId="19" fillId="0" borderId="3" xfId="0" applyFont="1" applyBorder="1" applyAlignment="1">
      <alignment horizontal="center" vertical="center" wrapText="1"/>
    </xf>
    <xf numFmtId="0" fontId="20" fillId="0" borderId="0" xfId="0" applyFont="1" applyBorder="1" applyAlignment="1">
      <alignment horizontal="center" vertical="center"/>
    </xf>
    <xf numFmtId="0" fontId="20" fillId="2" borderId="0" xfId="0" applyFont="1" applyFill="1" applyBorder="1" applyAlignment="1">
      <alignment horizontal="center" vertical="center"/>
    </xf>
    <xf numFmtId="0" fontId="20" fillId="4" borderId="3" xfId="0" applyFont="1" applyFill="1" applyBorder="1" applyAlignment="1">
      <alignment horizontal="center" vertical="center"/>
    </xf>
    <xf numFmtId="0" fontId="20" fillId="5" borderId="0" xfId="0" applyFont="1" applyFill="1" applyBorder="1" applyAlignment="1">
      <alignment horizontal="center" vertical="center"/>
    </xf>
    <xf numFmtId="0" fontId="20" fillId="3" borderId="3" xfId="0" applyFont="1" applyFill="1" applyBorder="1" applyAlignment="1">
      <alignment horizontal="center" vertical="center"/>
    </xf>
    <xf numFmtId="164" fontId="19" fillId="0" borderId="0" xfId="0" applyNumberFormat="1" applyFont="1" applyAlignment="1">
      <alignment horizontal="center" vertical="center"/>
    </xf>
    <xf numFmtId="0" fontId="19" fillId="0" borderId="0" xfId="0" applyFont="1" applyBorder="1" applyAlignment="1">
      <alignment horizontal="center" vertical="center" wrapText="1"/>
    </xf>
    <xf numFmtId="0" fontId="20" fillId="4" borderId="0" xfId="0" applyFont="1" applyFill="1" applyBorder="1" applyAlignment="1">
      <alignment horizontal="center" vertical="center"/>
    </xf>
    <xf numFmtId="0" fontId="19" fillId="3" borderId="0" xfId="0" applyFont="1" applyFill="1" applyBorder="1" applyAlignment="1">
      <alignment horizontal="center" vertical="center" wrapText="1"/>
    </xf>
    <xf numFmtId="0" fontId="20" fillId="3" borderId="0" xfId="0" applyFont="1" applyFill="1" applyBorder="1" applyAlignment="1">
      <alignment horizontal="center" vertical="center"/>
    </xf>
    <xf numFmtId="0" fontId="19" fillId="0" borderId="0" xfId="0" applyFont="1" applyBorder="1" applyAlignment="1">
      <alignment horizontal="center" vertical="center"/>
    </xf>
    <xf numFmtId="0" fontId="19" fillId="5" borderId="0" xfId="0" applyFont="1" applyFill="1" applyBorder="1" applyAlignment="1">
      <alignment horizontal="center" vertical="center" wrapText="1"/>
    </xf>
    <xf numFmtId="0" fontId="10" fillId="0" borderId="1" xfId="0" applyFont="1" applyBorder="1" applyAlignment="1">
      <alignment horizontal="center" vertical="center" wrapText="1"/>
    </xf>
    <xf numFmtId="1" fontId="10" fillId="0" borderId="1" xfId="0" applyNumberFormat="1" applyFont="1" applyBorder="1" applyAlignment="1">
      <alignment horizontal="center" vertical="center" wrapText="1"/>
    </xf>
    <xf numFmtId="0" fontId="10" fillId="2" borderId="1" xfId="0" applyFont="1" applyFill="1" applyBorder="1" applyAlignment="1">
      <alignment horizontal="center" vertical="center" wrapText="1"/>
    </xf>
    <xf numFmtId="164" fontId="20" fillId="8" borderId="4" xfId="0" applyNumberFormat="1" applyFont="1" applyFill="1" applyBorder="1" applyAlignment="1">
      <alignment horizontal="center" vertical="center" wrapText="1"/>
    </xf>
    <xf numFmtId="0" fontId="10" fillId="2" borderId="0" xfId="0" applyFont="1" applyFill="1" applyAlignment="1">
      <alignment horizontal="center" vertical="center" wrapText="1"/>
    </xf>
    <xf numFmtId="0" fontId="10" fillId="0" borderId="0" xfId="0" applyFont="1" applyAlignment="1">
      <alignment horizontal="center" vertical="center" wrapText="1"/>
    </xf>
    <xf numFmtId="0" fontId="10" fillId="5" borderId="0" xfId="0" applyFont="1" applyFill="1" applyAlignment="1">
      <alignment horizontal="center" vertical="center" wrapText="1"/>
    </xf>
    <xf numFmtId="0" fontId="10" fillId="0" borderId="0" xfId="0" applyFont="1" applyFill="1" applyAlignment="1">
      <alignment horizontal="center" vertical="center" wrapText="1"/>
    </xf>
    <xf numFmtId="1" fontId="10" fillId="0" borderId="0" xfId="0" applyNumberFormat="1" applyFont="1" applyAlignment="1">
      <alignment horizontal="center" vertical="center" wrapText="1"/>
    </xf>
    <xf numFmtId="0" fontId="10" fillId="0" borderId="0" xfId="0" applyFont="1" applyBorder="1" applyAlignment="1">
      <alignment horizontal="center" vertical="center" wrapText="1"/>
    </xf>
    <xf numFmtId="0" fontId="10" fillId="2" borderId="0"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10" fillId="0" borderId="3" xfId="0" applyFont="1" applyBorder="1" applyAlignment="1">
      <alignment horizontal="center" vertical="center" wrapText="1"/>
    </xf>
    <xf numFmtId="0" fontId="10" fillId="2" borderId="3"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10" fillId="0" borderId="0" xfId="0" applyFont="1" applyAlignment="1">
      <alignment horizontal="center" vertical="center"/>
    </xf>
    <xf numFmtId="0" fontId="10" fillId="0" borderId="0" xfId="0" applyFont="1" applyBorder="1" applyAlignment="1">
      <alignment horizontal="center" vertical="center"/>
    </xf>
    <xf numFmtId="0" fontId="10" fillId="2" borderId="0" xfId="0" applyFont="1" applyFill="1" applyBorder="1" applyAlignment="1">
      <alignment horizontal="center" vertical="center"/>
    </xf>
    <xf numFmtId="0" fontId="10" fillId="5" borderId="0" xfId="0" applyFont="1" applyFill="1" applyBorder="1" applyAlignment="1">
      <alignment horizontal="center" vertical="center"/>
    </xf>
    <xf numFmtId="0" fontId="10" fillId="2" borderId="0" xfId="0" applyFont="1" applyFill="1" applyAlignment="1">
      <alignment horizontal="center" vertical="center"/>
    </xf>
    <xf numFmtId="0" fontId="10" fillId="5" borderId="0" xfId="0" applyFont="1" applyFill="1" applyAlignment="1">
      <alignment horizontal="center" vertical="center"/>
    </xf>
    <xf numFmtId="0" fontId="10" fillId="0" borderId="3" xfId="0" applyFont="1" applyBorder="1" applyAlignment="1">
      <alignment horizontal="center" vertical="center"/>
    </xf>
    <xf numFmtId="0" fontId="19" fillId="3" borderId="3" xfId="0" applyFont="1" applyFill="1" applyBorder="1" applyAlignment="1">
      <alignment horizontal="center" vertical="center" wrapText="1"/>
    </xf>
    <xf numFmtId="0" fontId="9" fillId="0" borderId="0" xfId="0" applyFont="1" applyAlignment="1">
      <alignment horizontal="center" vertical="center" wrapText="1"/>
    </xf>
    <xf numFmtId="0" fontId="20" fillId="0" borderId="0" xfId="0" applyFont="1" applyAlignment="1">
      <alignment horizontal="left" vertical="top" wrapText="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20" fillId="0" borderId="0" xfId="0" applyFont="1" applyBorder="1" applyAlignment="1">
      <alignment horizontal="left" vertical="top" wrapText="1"/>
    </xf>
    <xf numFmtId="0" fontId="20" fillId="0" borderId="0" xfId="1" applyFont="1" applyAlignment="1">
      <alignment horizontal="left" vertical="top" wrapText="1"/>
    </xf>
    <xf numFmtId="0" fontId="20" fillId="0" borderId="0" xfId="2" applyFont="1" applyBorder="1" applyAlignment="1">
      <alignment horizontal="left" vertical="top" wrapText="1"/>
    </xf>
    <xf numFmtId="0" fontId="10" fillId="0" borderId="3" xfId="0" applyFont="1" applyBorder="1" applyAlignment="1">
      <alignment horizontal="left" vertical="top" wrapText="1"/>
    </xf>
    <xf numFmtId="0" fontId="20" fillId="0" borderId="3" xfId="0" applyFont="1" applyBorder="1" applyAlignment="1">
      <alignment horizontal="left" vertical="top" wrapText="1"/>
    </xf>
    <xf numFmtId="0" fontId="20" fillId="0" borderId="0" xfId="1" applyFont="1" applyBorder="1" applyAlignment="1">
      <alignment horizontal="left" vertical="top" wrapText="1"/>
    </xf>
    <xf numFmtId="0" fontId="19" fillId="0" borderId="0" xfId="0" applyFont="1" applyBorder="1" applyAlignment="1">
      <alignment horizontal="left" vertical="top" wrapText="1"/>
    </xf>
    <xf numFmtId="0" fontId="20" fillId="0" borderId="0" xfId="0" applyFont="1" applyAlignment="1">
      <alignment horizontal="left" vertical="top"/>
    </xf>
    <xf numFmtId="0" fontId="10" fillId="0" borderId="0" xfId="0" applyFont="1" applyAlignment="1">
      <alignment horizontal="left" vertical="top"/>
    </xf>
    <xf numFmtId="0" fontId="20" fillId="0" borderId="0" xfId="1" applyFont="1" applyAlignment="1">
      <alignment horizontal="left" vertical="top"/>
    </xf>
    <xf numFmtId="0" fontId="19" fillId="0" borderId="0" xfId="0" applyFont="1" applyAlignment="1">
      <alignment horizontal="left" vertical="top"/>
    </xf>
    <xf numFmtId="0" fontId="8" fillId="0" borderId="0" xfId="0" applyFont="1" applyBorder="1" applyAlignment="1">
      <alignment horizontal="left" vertical="top" wrapText="1"/>
    </xf>
    <xf numFmtId="0" fontId="8" fillId="0" borderId="0" xfId="0" applyFont="1" applyAlignment="1">
      <alignment horizontal="left" vertical="top" wrapText="1"/>
    </xf>
    <xf numFmtId="0" fontId="7" fillId="0" borderId="0" xfId="0" applyFont="1" applyAlignment="1">
      <alignment horizontal="left" vertical="top" wrapText="1"/>
    </xf>
    <xf numFmtId="0" fontId="7" fillId="0" borderId="0" xfId="0" applyFont="1" applyAlignment="1">
      <alignment horizontal="left" vertical="top"/>
    </xf>
    <xf numFmtId="0" fontId="7" fillId="0" borderId="0" xfId="0" applyFont="1" applyBorder="1" applyAlignment="1">
      <alignment horizontal="left" vertical="top" wrapText="1"/>
    </xf>
    <xf numFmtId="0" fontId="20" fillId="0" borderId="0" xfId="0" applyFont="1" applyFill="1" applyAlignment="1">
      <alignment horizontal="left" vertical="top"/>
    </xf>
    <xf numFmtId="0" fontId="6"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Border="1" applyAlignment="1">
      <alignment horizontal="left" vertical="top" wrapText="1"/>
    </xf>
    <xf numFmtId="0" fontId="4" fillId="0" borderId="0" xfId="0" applyFont="1" applyFill="1" applyAlignment="1">
      <alignment horizontal="left" vertical="top" wrapText="1"/>
    </xf>
    <xf numFmtId="0" fontId="4" fillId="0" borderId="0" xfId="0" applyFont="1" applyAlignment="1">
      <alignment horizontal="left" vertical="top" wrapText="1"/>
    </xf>
    <xf numFmtId="0" fontId="3" fillId="0" borderId="0" xfId="0" applyFont="1" applyBorder="1" applyAlignment="1">
      <alignment horizontal="left" vertical="top" wrapText="1"/>
    </xf>
    <xf numFmtId="0" fontId="3"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left" vertical="top" wrapText="1"/>
    </xf>
    <xf numFmtId="0" fontId="2" fillId="0" borderId="0" xfId="0" applyFont="1" applyAlignment="1">
      <alignment horizontal="left" vertical="top"/>
    </xf>
    <xf numFmtId="0" fontId="2" fillId="0" borderId="0" xfId="0" applyFont="1" applyBorder="1" applyAlignment="1">
      <alignment horizontal="lef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1" fillId="0" borderId="0" xfId="0" applyFont="1" applyBorder="1" applyAlignment="1">
      <alignment horizontal="left" vertical="top" wrapText="1"/>
    </xf>
    <xf numFmtId="0" fontId="1" fillId="0" borderId="0" xfId="0" applyFont="1" applyAlignment="1">
      <alignment horizontal="left" vertical="top"/>
    </xf>
    <xf numFmtId="0" fontId="4" fillId="0" borderId="0" xfId="0" applyFont="1" applyBorder="1" applyAlignment="1">
      <alignment horizontal="left" vertical="top" wrapText="1"/>
    </xf>
    <xf numFmtId="0" fontId="20" fillId="0" borderId="2" xfId="0" applyFont="1" applyBorder="1" applyAlignment="1">
      <alignment horizontal="center" vertical="center"/>
    </xf>
    <xf numFmtId="0" fontId="19" fillId="2" borderId="0" xfId="0" applyFont="1" applyFill="1" applyBorder="1" applyAlignment="1">
      <alignment horizontal="center" vertical="center" wrapText="1"/>
    </xf>
    <xf numFmtId="0" fontId="6" fillId="0" borderId="0" xfId="0" applyFont="1" applyBorder="1" applyAlignment="1">
      <alignment horizontal="left" vertical="top" wrapText="1"/>
    </xf>
    <xf numFmtId="0" fontId="20" fillId="0" borderId="3" xfId="0" applyFont="1" applyBorder="1" applyAlignment="1">
      <alignment horizontal="left" vertical="top"/>
    </xf>
    <xf numFmtId="0" fontId="27" fillId="0" borderId="0" xfId="9" applyFont="1" applyBorder="1"/>
    <xf numFmtId="0" fontId="29" fillId="0" borderId="5" xfId="0" applyFont="1" applyBorder="1"/>
    <xf numFmtId="0" fontId="20" fillId="0" borderId="3" xfId="2" applyFont="1" applyBorder="1" applyAlignment="1">
      <alignment horizontal="left" vertical="top" wrapText="1"/>
    </xf>
    <xf numFmtId="0" fontId="20" fillId="0" borderId="3" xfId="1" applyFont="1" applyBorder="1" applyAlignment="1">
      <alignment horizontal="left" vertical="top" wrapText="1"/>
    </xf>
    <xf numFmtId="0" fontId="20" fillId="0" borderId="3" xfId="2" applyFont="1" applyBorder="1" applyAlignment="1">
      <alignment horizontal="center" vertical="center"/>
    </xf>
    <xf numFmtId="0" fontId="1" fillId="0" borderId="3" xfId="0" applyFont="1" applyBorder="1" applyAlignment="1">
      <alignment horizontal="left" vertical="top" wrapText="1"/>
    </xf>
    <xf numFmtId="0" fontId="5" fillId="0" borderId="3" xfId="0" applyFont="1" applyBorder="1" applyAlignment="1">
      <alignment horizontal="left" vertical="top" wrapText="1"/>
    </xf>
    <xf numFmtId="0" fontId="10" fillId="2" borderId="3" xfId="0" applyFont="1" applyFill="1" applyBorder="1" applyAlignment="1">
      <alignment horizontal="center" vertical="center"/>
    </xf>
    <xf numFmtId="0" fontId="19" fillId="5" borderId="3" xfId="0" applyFont="1" applyFill="1" applyBorder="1" applyAlignment="1">
      <alignment horizontal="center" vertical="center" wrapText="1"/>
    </xf>
    <xf numFmtId="0" fontId="10" fillId="5" borderId="3" xfId="0" applyFont="1" applyFill="1" applyBorder="1" applyAlignment="1">
      <alignment horizontal="center" vertical="center"/>
    </xf>
  </cellXfs>
  <cellStyles count="12">
    <cellStyle name="Hyperlink" xfId="1" builtinId="8"/>
    <cellStyle name="Hyperlink 2" xfId="4" xr:uid="{D6666D1E-251B-4A7D-A4EC-E39404738A9D}"/>
    <cellStyle name="Normal" xfId="0" builtinId="0"/>
    <cellStyle name="Normal 10" xfId="11" xr:uid="{EDF9B836-93F1-4FD5-B39D-83732F2124A4}"/>
    <cellStyle name="Normal 2" xfId="2" xr:uid="{624F70D1-8644-44E1-A118-D25AB8170DF2}"/>
    <cellStyle name="Normal 3" xfId="3" xr:uid="{08211389-B14A-4312-B782-0C82009EFCB7}"/>
    <cellStyle name="Normal 4" xfId="5" xr:uid="{59BFC944-901A-4108-8103-F3F377D7EC59}"/>
    <cellStyle name="Normal 5" xfId="6" xr:uid="{B08F603E-33A5-4C7D-B934-672436D50027}"/>
    <cellStyle name="Normal 6" xfId="7" xr:uid="{65B7AACE-5B65-44B5-9921-C0A25DA9B5F1}"/>
    <cellStyle name="Normal 7" xfId="8" xr:uid="{0AA1AB3D-4D4A-47F0-AA09-0F902D2FAD8A}"/>
    <cellStyle name="Normal 8" xfId="9" xr:uid="{8E22BDA4-F5A3-4178-B642-DB6725E4EC82}"/>
    <cellStyle name="Normal 9" xfId="10" xr:uid="{E7EE6099-02AA-465D-A07F-570D77E8A05C}"/>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ncbi.nlm.nih.gov/pubmed" TargetMode="External"/><Relationship Id="rId13" Type="http://schemas.openxmlformats.org/officeDocument/2006/relationships/hyperlink" Target="https://www.ncbi.nlm.nih.gov/pubmed/?term=Zubairi%20H%5BAuthor%5D&amp;cauthor=true&amp;cauthor_uid=28678057" TargetMode="External"/><Relationship Id="rId3" Type="http://schemas.openxmlformats.org/officeDocument/2006/relationships/hyperlink" Target="https://www.ncbi.nlm.nih.gov/pubmed/31741306" TargetMode="External"/><Relationship Id="rId7" Type="http://schemas.openxmlformats.org/officeDocument/2006/relationships/hyperlink" Target="https://www.ncbi.nlm.nih.gov/pubmed" TargetMode="External"/><Relationship Id="rId12" Type="http://schemas.openxmlformats.org/officeDocument/2006/relationships/hyperlink" Target="https://www.ncbi.nlm.nih.gov/pubmed" TargetMode="External"/><Relationship Id="rId2" Type="http://schemas.openxmlformats.org/officeDocument/2006/relationships/hyperlink" Target="https://www.ncbi.nlm.nih.gov/pubmed/31817489" TargetMode="External"/><Relationship Id="rId1" Type="http://schemas.openxmlformats.org/officeDocument/2006/relationships/hyperlink" Target="https://www.ncbi.nlm.nih.gov/pubmed/31642421" TargetMode="External"/><Relationship Id="rId6" Type="http://schemas.openxmlformats.org/officeDocument/2006/relationships/hyperlink" Target="https://www.ncbi.nlm.nih.gov/pubmed/?term=Rizka%20A%5BAuthor%5D&amp;cauthor=true&amp;cauthor_uid=31755195" TargetMode="External"/><Relationship Id="rId11" Type="http://schemas.openxmlformats.org/officeDocument/2006/relationships/hyperlink" Target="https://www.ncbi.nlm.nih.gov/pubmed/?term=Edward%20U%5BAuthor%5D&amp;cauthor=true&amp;cauthor_uid=31889889" TargetMode="External"/><Relationship Id="rId5" Type="http://schemas.openxmlformats.org/officeDocument/2006/relationships/hyperlink" Target="https://www.ncbi.nlm.nih.gov/pubmed/?term=Changalucha%20J%5BAuthor%5D&amp;cauthor=true&amp;cauthor_uid=30309746" TargetMode="External"/><Relationship Id="rId10" Type="http://schemas.openxmlformats.org/officeDocument/2006/relationships/hyperlink" Target="https://www.ncbi.nlm.nih.gov/pubmed" TargetMode="External"/><Relationship Id="rId4" Type="http://schemas.openxmlformats.org/officeDocument/2006/relationships/hyperlink" Target="https://www.ncbi.nlm.nih.gov/pubmed/31832015" TargetMode="External"/><Relationship Id="rId9" Type="http://schemas.openxmlformats.org/officeDocument/2006/relationships/hyperlink" Target="https://www.ncbi.nlm.nih.gov/pubmed/?term=Tay%20AK%5BAuthor%5D&amp;cauthor=true&amp;cauthor_uid=31477686" TargetMode="External"/><Relationship Id="rId1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CF24B-78AB-4FE0-9FC8-AD14ECF8C1A9}">
  <sheetPr>
    <outlinePr summaryBelow="0" summaryRight="0"/>
  </sheetPr>
  <dimension ref="A1:Y358"/>
  <sheetViews>
    <sheetView tabSelected="1" zoomScale="80" zoomScaleNormal="80" workbookViewId="0">
      <pane xSplit="1" ySplit="2" topLeftCell="B3" activePane="bottomRight" state="frozen"/>
      <selection pane="topRight" activeCell="B1" sqref="B1"/>
      <selection pane="bottomLeft" activeCell="A2" sqref="A2"/>
      <selection pane="bottomRight"/>
    </sheetView>
  </sheetViews>
  <sheetFormatPr defaultColWidth="14.453125" defaultRowHeight="15.75" customHeight="1" x14ac:dyDescent="0.3"/>
  <cols>
    <col min="1" max="1" width="50.7265625" style="125" customWidth="1"/>
    <col min="2" max="2" width="100.7265625" style="2" customWidth="1"/>
    <col min="3" max="3" width="43.7265625" style="2" bestFit="1" customWidth="1"/>
    <col min="4" max="21" width="14.7265625" style="67" customWidth="1"/>
    <col min="22" max="24" width="14.453125" style="67"/>
    <col min="25" max="25" width="14.453125" style="81"/>
    <col min="26" max="16384" width="14.453125" style="3"/>
  </cols>
  <sheetData>
    <row r="1" spans="1:25" ht="15.75" customHeight="1" x14ac:dyDescent="0.35">
      <c r="A1" s="153" t="s">
        <v>949</v>
      </c>
    </row>
    <row r="2" spans="1:25" s="66" customFormat="1" ht="78" customHeight="1" x14ac:dyDescent="0.25">
      <c r="A2" s="73" t="s">
        <v>0</v>
      </c>
      <c r="B2" s="73" t="s">
        <v>1</v>
      </c>
      <c r="C2" s="73" t="s">
        <v>2</v>
      </c>
      <c r="D2" s="88" t="s">
        <v>3</v>
      </c>
      <c r="E2" s="88" t="s">
        <v>4</v>
      </c>
      <c r="F2" s="89" t="s">
        <v>5</v>
      </c>
      <c r="G2" s="88" t="s">
        <v>6</v>
      </c>
      <c r="H2" s="90" t="s">
        <v>7</v>
      </c>
      <c r="I2" s="88" t="s">
        <v>8</v>
      </c>
      <c r="J2" s="90" t="s">
        <v>363</v>
      </c>
      <c r="K2" s="88" t="s">
        <v>9</v>
      </c>
      <c r="L2" s="90" t="s">
        <v>364</v>
      </c>
      <c r="M2" s="88" t="s">
        <v>365</v>
      </c>
      <c r="N2" s="90" t="s">
        <v>591</v>
      </c>
      <c r="O2" s="88" t="s">
        <v>592</v>
      </c>
      <c r="P2" s="90" t="s">
        <v>587</v>
      </c>
      <c r="Q2" s="88" t="s">
        <v>588</v>
      </c>
      <c r="R2" s="90" t="s">
        <v>589</v>
      </c>
      <c r="S2" s="88" t="s">
        <v>590</v>
      </c>
      <c r="T2" s="90" t="s">
        <v>10</v>
      </c>
      <c r="U2" s="88" t="s">
        <v>11</v>
      </c>
      <c r="V2" s="68" t="s">
        <v>586</v>
      </c>
      <c r="W2" s="68" t="s">
        <v>593</v>
      </c>
      <c r="X2" s="68" t="s">
        <v>600</v>
      </c>
      <c r="Y2" s="91" t="s">
        <v>601</v>
      </c>
    </row>
    <row r="3" spans="1:25" ht="16" customHeight="1" x14ac:dyDescent="0.3">
      <c r="A3" s="114" t="s">
        <v>603</v>
      </c>
      <c r="B3" s="144" t="s">
        <v>919</v>
      </c>
      <c r="C3" s="114" t="s">
        <v>109</v>
      </c>
      <c r="D3" s="93" t="s">
        <v>17</v>
      </c>
      <c r="E3" s="93" t="s">
        <v>18</v>
      </c>
      <c r="F3" s="96">
        <v>31327563</v>
      </c>
      <c r="G3" s="97" t="s">
        <v>128</v>
      </c>
      <c r="H3" s="98" t="s">
        <v>609</v>
      </c>
      <c r="I3" s="97" t="s">
        <v>610</v>
      </c>
      <c r="J3" s="99"/>
      <c r="K3" s="99"/>
      <c r="L3" s="98">
        <v>6</v>
      </c>
      <c r="M3" s="97">
        <v>6</v>
      </c>
      <c r="N3" s="98">
        <v>4</v>
      </c>
      <c r="O3" s="97">
        <v>4</v>
      </c>
      <c r="P3" s="98">
        <v>5</v>
      </c>
      <c r="Q3" s="97">
        <v>5</v>
      </c>
      <c r="R3" s="98">
        <v>5</v>
      </c>
      <c r="S3" s="97">
        <v>5</v>
      </c>
      <c r="T3" s="92">
        <f t="shared" ref="T3:T66" si="0">J3+L3+N3+P3+R3</f>
        <v>20</v>
      </c>
      <c r="U3" s="95">
        <f t="shared" ref="U3:U66" si="1">K3+M3+O3+Q3+S3</f>
        <v>20</v>
      </c>
      <c r="V3" s="67">
        <f>ABS(T3-U3)</f>
        <v>0</v>
      </c>
      <c r="W3" s="67" t="str">
        <f>IF(V3&gt;(MEDIAN(Scoring!V:V)+_xlfn.STDEV.P(Scoring!V:V)),"YES","")</f>
        <v/>
      </c>
      <c r="X3" s="67" t="str">
        <f>IF($W3="YES",VLOOKUP($A3,'Editors Rescore'!$A$2:$M$63,13,FALSE),"")</f>
        <v/>
      </c>
      <c r="Y3" s="81">
        <f t="shared" ref="Y3:Y66" si="2">IF(W3="YES",AVERAGE(T3,U3,X3),AVERAGE(T3,U3))</f>
        <v>20</v>
      </c>
    </row>
    <row r="4" spans="1:25" ht="32.15" customHeight="1" x14ac:dyDescent="0.3">
      <c r="A4" s="122" t="s">
        <v>528</v>
      </c>
      <c r="B4" s="112" t="s">
        <v>634</v>
      </c>
      <c r="C4" s="112" t="s">
        <v>529</v>
      </c>
      <c r="D4" s="4" t="s">
        <v>17</v>
      </c>
      <c r="E4" s="4" t="s">
        <v>18</v>
      </c>
      <c r="F4" s="4">
        <v>31828841</v>
      </c>
      <c r="G4" s="76" t="s">
        <v>605</v>
      </c>
      <c r="H4" s="77" t="s">
        <v>318</v>
      </c>
      <c r="I4" s="76" t="s">
        <v>626</v>
      </c>
      <c r="J4" s="79"/>
      <c r="K4" s="79"/>
      <c r="L4" s="77">
        <v>6</v>
      </c>
      <c r="M4" s="76">
        <v>6</v>
      </c>
      <c r="N4" s="77">
        <v>4</v>
      </c>
      <c r="O4" s="76">
        <v>4</v>
      </c>
      <c r="P4" s="77">
        <v>5</v>
      </c>
      <c r="Q4" s="76">
        <v>5</v>
      </c>
      <c r="R4" s="77">
        <v>4</v>
      </c>
      <c r="S4" s="76">
        <v>5</v>
      </c>
      <c r="T4" s="92">
        <f t="shared" si="0"/>
        <v>19</v>
      </c>
      <c r="U4" s="95">
        <f t="shared" si="1"/>
        <v>20</v>
      </c>
      <c r="V4" s="67">
        <f t="shared" ref="V4:V67" si="3">ABS(T4-U4)</f>
        <v>1</v>
      </c>
      <c r="W4" s="67" t="str">
        <f>IF(V4&gt;(MEDIAN(Scoring!V:V)+_xlfn.STDEV.P(Scoring!V:V)),"YES","")</f>
        <v/>
      </c>
      <c r="X4" s="67" t="str">
        <f>IF($W4="YES",VLOOKUP($A4,'Editors Rescore'!$A$2:$M$63,13,FALSE),"")</f>
        <v/>
      </c>
      <c r="Y4" s="81">
        <f t="shared" si="2"/>
        <v>19.5</v>
      </c>
    </row>
    <row r="5" spans="1:25" ht="32.15" customHeight="1" x14ac:dyDescent="0.3">
      <c r="A5" s="114" t="s">
        <v>142</v>
      </c>
      <c r="B5" s="132" t="s">
        <v>753</v>
      </c>
      <c r="C5" s="114" t="s">
        <v>143</v>
      </c>
      <c r="D5" s="93" t="s">
        <v>17</v>
      </c>
      <c r="E5" s="93" t="s">
        <v>18</v>
      </c>
      <c r="F5" s="96">
        <v>31256761</v>
      </c>
      <c r="G5" s="93" t="s">
        <v>619</v>
      </c>
      <c r="H5" s="98" t="s">
        <v>622</v>
      </c>
      <c r="I5" s="93" t="s">
        <v>623</v>
      </c>
      <c r="J5" s="94"/>
      <c r="K5" s="94"/>
      <c r="L5" s="98">
        <v>5</v>
      </c>
      <c r="M5" s="93">
        <v>5</v>
      </c>
      <c r="N5" s="98">
        <v>4</v>
      </c>
      <c r="O5" s="93">
        <v>4</v>
      </c>
      <c r="P5" s="98">
        <v>5</v>
      </c>
      <c r="Q5" s="93">
        <v>5</v>
      </c>
      <c r="R5" s="98">
        <v>5</v>
      </c>
      <c r="S5" s="93">
        <v>5</v>
      </c>
      <c r="T5" s="92">
        <f t="shared" si="0"/>
        <v>19</v>
      </c>
      <c r="U5" s="95">
        <f t="shared" si="1"/>
        <v>19</v>
      </c>
      <c r="V5" s="67">
        <f t="shared" si="3"/>
        <v>0</v>
      </c>
      <c r="W5" s="67" t="str">
        <f>IF(V5&gt;(MEDIAN(Scoring!V:V)+_xlfn.STDEV.P(Scoring!V:V)),"YES","")</f>
        <v/>
      </c>
      <c r="X5" s="67" t="str">
        <f>IF($W5="YES",VLOOKUP($A5,'Editors Rescore'!$A$2:$M$63,13,FALSE),"")</f>
        <v/>
      </c>
      <c r="Y5" s="81">
        <f t="shared" si="2"/>
        <v>19</v>
      </c>
    </row>
    <row r="6" spans="1:25" ht="32.15" customHeight="1" x14ac:dyDescent="0.3">
      <c r="A6" s="125" t="s">
        <v>352</v>
      </c>
      <c r="B6" s="121" t="s">
        <v>927</v>
      </c>
      <c r="C6" s="121" t="s">
        <v>67</v>
      </c>
      <c r="D6" s="86" t="s">
        <v>25</v>
      </c>
      <c r="E6" s="67" t="s">
        <v>19</v>
      </c>
      <c r="F6" s="67">
        <v>31452488</v>
      </c>
      <c r="G6" s="86" t="s">
        <v>605</v>
      </c>
      <c r="H6" s="77" t="s">
        <v>626</v>
      </c>
      <c r="I6" s="76" t="s">
        <v>318</v>
      </c>
      <c r="J6" s="77">
        <v>5</v>
      </c>
      <c r="K6" s="76">
        <v>5</v>
      </c>
      <c r="L6" s="77">
        <v>5</v>
      </c>
      <c r="M6" s="76">
        <v>5</v>
      </c>
      <c r="N6" s="79"/>
      <c r="O6" s="79"/>
      <c r="P6" s="77">
        <v>5</v>
      </c>
      <c r="Q6" s="76">
        <v>4</v>
      </c>
      <c r="R6" s="77">
        <v>5</v>
      </c>
      <c r="S6" s="76">
        <v>4</v>
      </c>
      <c r="T6" s="92">
        <f t="shared" si="0"/>
        <v>20</v>
      </c>
      <c r="U6" s="95">
        <f t="shared" si="1"/>
        <v>18</v>
      </c>
      <c r="V6" s="67">
        <f t="shared" si="3"/>
        <v>2</v>
      </c>
      <c r="W6" s="67" t="str">
        <f>IF(V6&gt;(MEDIAN(Scoring!V:V)+_xlfn.STDEV.P(Scoring!V:V)),"YES","")</f>
        <v/>
      </c>
      <c r="X6" s="67" t="str">
        <f>IF($W6="YES",VLOOKUP($A6,'Editors Rescore'!$A$2:$M$63,13,FALSE),"")</f>
        <v/>
      </c>
      <c r="Y6" s="81">
        <f t="shared" si="2"/>
        <v>19</v>
      </c>
    </row>
    <row r="7" spans="1:25" ht="32.15" customHeight="1" x14ac:dyDescent="0.3">
      <c r="A7" s="114" t="s">
        <v>113</v>
      </c>
      <c r="B7" s="128" t="s">
        <v>659</v>
      </c>
      <c r="C7" s="114" t="s">
        <v>114</v>
      </c>
      <c r="D7" s="93" t="s">
        <v>17</v>
      </c>
      <c r="E7" s="93" t="s">
        <v>18</v>
      </c>
      <c r="F7" s="96">
        <v>29912645</v>
      </c>
      <c r="G7" s="93" t="s">
        <v>619</v>
      </c>
      <c r="H7" s="98" t="s">
        <v>620</v>
      </c>
      <c r="I7" s="93" t="s">
        <v>621</v>
      </c>
      <c r="J7" s="94"/>
      <c r="K7" s="94"/>
      <c r="L7" s="98">
        <v>5</v>
      </c>
      <c r="M7" s="93">
        <v>5</v>
      </c>
      <c r="N7" s="98">
        <v>4</v>
      </c>
      <c r="O7" s="93">
        <v>4</v>
      </c>
      <c r="P7" s="98">
        <v>5</v>
      </c>
      <c r="Q7" s="93">
        <v>5</v>
      </c>
      <c r="R7" s="98">
        <v>5</v>
      </c>
      <c r="S7" s="93">
        <v>4</v>
      </c>
      <c r="T7" s="92">
        <f t="shared" si="0"/>
        <v>19</v>
      </c>
      <c r="U7" s="95">
        <f t="shared" si="1"/>
        <v>18</v>
      </c>
      <c r="V7" s="67">
        <f t="shared" si="3"/>
        <v>1</v>
      </c>
      <c r="W7" s="67" t="str">
        <f>IF(V7&gt;(MEDIAN(Scoring!V:V)+_xlfn.STDEV.P(Scoring!V:V)),"YES","")</f>
        <v/>
      </c>
      <c r="X7" s="67" t="str">
        <f>IF($W7="YES",VLOOKUP($A7,'Editors Rescore'!$A$2:$M$63,13,FALSE),"")</f>
        <v/>
      </c>
      <c r="Y7" s="81">
        <f t="shared" si="2"/>
        <v>18.5</v>
      </c>
    </row>
    <row r="8" spans="1:25" ht="32.15" customHeight="1" x14ac:dyDescent="0.3">
      <c r="A8" s="122" t="s">
        <v>442</v>
      </c>
      <c r="B8" s="115" t="s">
        <v>686</v>
      </c>
      <c r="C8" s="115" t="s">
        <v>109</v>
      </c>
      <c r="D8" s="76" t="s">
        <v>17</v>
      </c>
      <c r="E8" s="4" t="s">
        <v>18</v>
      </c>
      <c r="F8" s="4">
        <v>31623894</v>
      </c>
      <c r="G8" s="4" t="s">
        <v>619</v>
      </c>
      <c r="H8" s="83" t="s">
        <v>621</v>
      </c>
      <c r="I8" s="4" t="s">
        <v>620</v>
      </c>
      <c r="J8" s="11"/>
      <c r="K8" s="11"/>
      <c r="L8" s="85">
        <v>6</v>
      </c>
      <c r="M8" s="4">
        <v>5</v>
      </c>
      <c r="N8" s="85">
        <v>4</v>
      </c>
      <c r="O8" s="4">
        <v>4</v>
      </c>
      <c r="P8" s="85">
        <v>5</v>
      </c>
      <c r="Q8" s="4">
        <v>5</v>
      </c>
      <c r="R8" s="85">
        <v>4</v>
      </c>
      <c r="S8" s="4">
        <v>4</v>
      </c>
      <c r="T8" s="92">
        <f t="shared" si="0"/>
        <v>19</v>
      </c>
      <c r="U8" s="95">
        <f t="shared" si="1"/>
        <v>18</v>
      </c>
      <c r="V8" s="67">
        <f t="shared" si="3"/>
        <v>1</v>
      </c>
      <c r="W8" s="67" t="str">
        <f>IF(V8&gt;(MEDIAN(Scoring!V:V)+_xlfn.STDEV.P(Scoring!V:V)),"YES","")</f>
        <v/>
      </c>
      <c r="X8" s="67" t="str">
        <f>IF($W8="YES",VLOOKUP($A8,'Editors Rescore'!$A$2:$M$63,13,FALSE),"")</f>
        <v/>
      </c>
      <c r="Y8" s="81">
        <f t="shared" si="2"/>
        <v>18.5</v>
      </c>
    </row>
    <row r="9" spans="1:25" ht="32.15" customHeight="1" x14ac:dyDescent="0.3">
      <c r="A9" s="2" t="s">
        <v>188</v>
      </c>
      <c r="B9" s="2" t="s">
        <v>790</v>
      </c>
      <c r="C9" s="2" t="s">
        <v>116</v>
      </c>
      <c r="D9" s="68" t="s">
        <v>17</v>
      </c>
      <c r="E9" s="68" t="s">
        <v>18</v>
      </c>
      <c r="F9" s="69">
        <v>30715250</v>
      </c>
      <c r="G9" s="82" t="s">
        <v>611</v>
      </c>
      <c r="H9" s="98" t="s">
        <v>614</v>
      </c>
      <c r="I9" s="97" t="s">
        <v>615</v>
      </c>
      <c r="J9" s="99"/>
      <c r="K9" s="99"/>
      <c r="L9" s="149">
        <v>5</v>
      </c>
      <c r="M9" s="82">
        <v>6</v>
      </c>
      <c r="N9" s="149">
        <v>4</v>
      </c>
      <c r="O9" s="82">
        <v>4</v>
      </c>
      <c r="P9" s="149">
        <v>5</v>
      </c>
      <c r="Q9" s="82">
        <v>4</v>
      </c>
      <c r="R9" s="149">
        <v>4</v>
      </c>
      <c r="S9" s="97">
        <v>5</v>
      </c>
      <c r="T9" s="92">
        <f t="shared" si="0"/>
        <v>18</v>
      </c>
      <c r="U9" s="95">
        <f t="shared" si="1"/>
        <v>19</v>
      </c>
      <c r="V9" s="67">
        <f t="shared" si="3"/>
        <v>1</v>
      </c>
      <c r="W9" s="67" t="str">
        <f>IF(V9&gt;(MEDIAN(Scoring!V:V)+_xlfn.STDEV.P(Scoring!V:V)),"YES","")</f>
        <v/>
      </c>
      <c r="X9" s="67" t="str">
        <f>IF($W9="YES",VLOOKUP($A9,'Editors Rescore'!$A$2:$M$63,13,FALSE),"")</f>
        <v/>
      </c>
      <c r="Y9" s="81">
        <f t="shared" si="2"/>
        <v>18.5</v>
      </c>
    </row>
    <row r="10" spans="1:25" ht="16" customHeight="1" x14ac:dyDescent="0.3">
      <c r="A10" s="122" t="s">
        <v>521</v>
      </c>
      <c r="B10" s="112" t="s">
        <v>826</v>
      </c>
      <c r="C10" s="116" t="s">
        <v>522</v>
      </c>
      <c r="D10" s="4" t="s">
        <v>17</v>
      </c>
      <c r="E10" s="4" t="s">
        <v>18</v>
      </c>
      <c r="F10" s="4">
        <v>31562059</v>
      </c>
      <c r="G10" s="4" t="s">
        <v>611</v>
      </c>
      <c r="H10" s="83" t="s">
        <v>615</v>
      </c>
      <c r="I10" s="4" t="s">
        <v>614</v>
      </c>
      <c r="J10" s="11"/>
      <c r="K10" s="11"/>
      <c r="L10" s="85">
        <v>5</v>
      </c>
      <c r="M10" s="4">
        <v>5</v>
      </c>
      <c r="N10" s="85">
        <v>4</v>
      </c>
      <c r="O10" s="4">
        <v>4</v>
      </c>
      <c r="P10" s="85">
        <v>5</v>
      </c>
      <c r="Q10" s="4">
        <v>5</v>
      </c>
      <c r="R10" s="85">
        <v>5</v>
      </c>
      <c r="S10" s="4">
        <v>4</v>
      </c>
      <c r="T10" s="92">
        <f t="shared" si="0"/>
        <v>19</v>
      </c>
      <c r="U10" s="95">
        <f t="shared" si="1"/>
        <v>18</v>
      </c>
      <c r="V10" s="67">
        <f t="shared" si="3"/>
        <v>1</v>
      </c>
      <c r="W10" s="67" t="str">
        <f>IF(V10&gt;(MEDIAN(Scoring!V:V)+_xlfn.STDEV.P(Scoring!V:V)),"YES","")</f>
        <v/>
      </c>
      <c r="X10" s="67" t="str">
        <f>IF($W10="YES",VLOOKUP($A10,'Editors Rescore'!$A$2:$M$63,13,FALSE),"")</f>
        <v/>
      </c>
      <c r="Y10" s="81">
        <f t="shared" si="2"/>
        <v>18.5</v>
      </c>
    </row>
    <row r="11" spans="1:25" ht="32.15" customHeight="1" x14ac:dyDescent="0.3">
      <c r="A11" s="125" t="s">
        <v>353</v>
      </c>
      <c r="B11" s="121" t="s">
        <v>935</v>
      </c>
      <c r="C11" s="121" t="s">
        <v>349</v>
      </c>
      <c r="D11" s="86" t="s">
        <v>25</v>
      </c>
      <c r="E11" s="67" t="s">
        <v>19</v>
      </c>
      <c r="F11" s="67">
        <v>31278145</v>
      </c>
      <c r="G11" s="86" t="s">
        <v>605</v>
      </c>
      <c r="H11" s="77" t="s">
        <v>626</v>
      </c>
      <c r="I11" s="76" t="s">
        <v>318</v>
      </c>
      <c r="J11" s="77">
        <v>5</v>
      </c>
      <c r="K11" s="76">
        <v>5</v>
      </c>
      <c r="L11" s="77">
        <v>5</v>
      </c>
      <c r="M11" s="76">
        <v>5</v>
      </c>
      <c r="N11" s="79"/>
      <c r="O11" s="79"/>
      <c r="P11" s="77">
        <v>5</v>
      </c>
      <c r="Q11" s="76">
        <v>3</v>
      </c>
      <c r="R11" s="77">
        <v>5</v>
      </c>
      <c r="S11" s="76">
        <v>3</v>
      </c>
      <c r="T11" s="92">
        <f t="shared" si="0"/>
        <v>20</v>
      </c>
      <c r="U11" s="95">
        <f t="shared" si="1"/>
        <v>16</v>
      </c>
      <c r="V11" s="67">
        <f t="shared" si="3"/>
        <v>4</v>
      </c>
      <c r="W11" s="67" t="str">
        <f>IF(V11&gt;(MEDIAN(Scoring!V:V)+_xlfn.STDEV.P(Scoring!V:V)),"YES","")</f>
        <v>YES</v>
      </c>
      <c r="X11" s="67">
        <f>IF($W11="YES",VLOOKUP($A11,'Editors Rescore'!$A$2:$M$63,13,FALSE),"")</f>
        <v>19</v>
      </c>
      <c r="Y11" s="81">
        <f t="shared" si="2"/>
        <v>18.333333333333332</v>
      </c>
    </row>
    <row r="12" spans="1:25" ht="32.15" customHeight="1" x14ac:dyDescent="0.3">
      <c r="A12" s="122" t="s">
        <v>405</v>
      </c>
      <c r="B12" s="112" t="s">
        <v>696</v>
      </c>
      <c r="C12" s="112" t="s">
        <v>24</v>
      </c>
      <c r="D12" s="4" t="s">
        <v>25</v>
      </c>
      <c r="E12" s="4" t="s">
        <v>18</v>
      </c>
      <c r="F12" s="4">
        <v>31890479</v>
      </c>
      <c r="G12" s="4" t="s">
        <v>128</v>
      </c>
      <c r="H12" s="5" t="s">
        <v>608</v>
      </c>
      <c r="I12" s="4" t="s">
        <v>607</v>
      </c>
      <c r="J12" s="11"/>
      <c r="K12" s="11"/>
      <c r="L12" s="6">
        <v>5</v>
      </c>
      <c r="M12" s="4">
        <v>4</v>
      </c>
      <c r="N12" s="6">
        <v>4</v>
      </c>
      <c r="O12" s="4">
        <v>4</v>
      </c>
      <c r="P12" s="6">
        <v>5</v>
      </c>
      <c r="Q12" s="4">
        <v>5</v>
      </c>
      <c r="R12" s="6">
        <v>4</v>
      </c>
      <c r="S12" s="4">
        <v>5</v>
      </c>
      <c r="T12" s="92">
        <f t="shared" si="0"/>
        <v>18</v>
      </c>
      <c r="U12" s="95">
        <f t="shared" si="1"/>
        <v>18</v>
      </c>
      <c r="V12" s="67">
        <f t="shared" si="3"/>
        <v>0</v>
      </c>
      <c r="W12" s="67" t="str">
        <f>IF(V12&gt;(MEDIAN(Scoring!V:V)+_xlfn.STDEV.P(Scoring!V:V)),"YES","")</f>
        <v/>
      </c>
      <c r="X12" s="67" t="str">
        <f>IF($W12="YES",VLOOKUP($A12,'Editors Rescore'!$A$2:$M$63,13,FALSE),"")</f>
        <v/>
      </c>
      <c r="Y12" s="81">
        <f t="shared" si="2"/>
        <v>18</v>
      </c>
    </row>
    <row r="13" spans="1:25" ht="32.15" customHeight="1" x14ac:dyDescent="0.3">
      <c r="A13" s="2" t="s">
        <v>320</v>
      </c>
      <c r="B13" s="2" t="s">
        <v>321</v>
      </c>
      <c r="C13" s="2" t="s">
        <v>99</v>
      </c>
      <c r="D13" s="68" t="s">
        <v>17</v>
      </c>
      <c r="E13" s="68" t="s">
        <v>18</v>
      </c>
      <c r="F13" s="69">
        <v>30871496</v>
      </c>
      <c r="G13" s="82" t="s">
        <v>605</v>
      </c>
      <c r="H13" s="84" t="s">
        <v>626</v>
      </c>
      <c r="I13" s="82" t="s">
        <v>318</v>
      </c>
      <c r="J13" s="87"/>
      <c r="K13" s="87"/>
      <c r="L13" s="84">
        <v>4</v>
      </c>
      <c r="M13" s="82">
        <v>6</v>
      </c>
      <c r="N13" s="84">
        <v>4</v>
      </c>
      <c r="O13" s="82">
        <v>4</v>
      </c>
      <c r="P13" s="84">
        <v>5</v>
      </c>
      <c r="Q13" s="82">
        <v>3</v>
      </c>
      <c r="R13" s="84">
        <v>5</v>
      </c>
      <c r="S13" s="82">
        <v>5</v>
      </c>
      <c r="T13" s="92">
        <f t="shared" si="0"/>
        <v>18</v>
      </c>
      <c r="U13" s="95">
        <f t="shared" si="1"/>
        <v>18</v>
      </c>
      <c r="V13" s="67">
        <f t="shared" si="3"/>
        <v>0</v>
      </c>
      <c r="W13" s="67" t="str">
        <f>IF(V13&gt;(MEDIAN(Scoring!V:V)+_xlfn.STDEV.P(Scoring!V:V)),"YES","")</f>
        <v/>
      </c>
      <c r="X13" s="67" t="str">
        <f>IF($W13="YES",VLOOKUP($A13,'Editors Rescore'!$A$2:$M$63,13,FALSE),"")</f>
        <v/>
      </c>
      <c r="Y13" s="81">
        <f t="shared" si="2"/>
        <v>18</v>
      </c>
    </row>
    <row r="14" spans="1:25" ht="32.15" customHeight="1" x14ac:dyDescent="0.3">
      <c r="A14" s="128" t="s">
        <v>723</v>
      </c>
      <c r="B14" s="128" t="s">
        <v>724</v>
      </c>
      <c r="C14" s="114" t="s">
        <v>116</v>
      </c>
      <c r="D14" s="93" t="s">
        <v>17</v>
      </c>
      <c r="E14" s="93" t="s">
        <v>18</v>
      </c>
      <c r="F14" s="96">
        <v>31111870</v>
      </c>
      <c r="G14" s="93" t="s">
        <v>619</v>
      </c>
      <c r="H14" s="92" t="s">
        <v>623</v>
      </c>
      <c r="I14" s="93" t="s">
        <v>622</v>
      </c>
      <c r="J14" s="94"/>
      <c r="K14" s="94"/>
      <c r="L14" s="92">
        <v>4</v>
      </c>
      <c r="M14" s="93">
        <v>4</v>
      </c>
      <c r="N14" s="92">
        <v>4</v>
      </c>
      <c r="O14" s="93">
        <v>4</v>
      </c>
      <c r="P14" s="92">
        <v>5</v>
      </c>
      <c r="Q14" s="93">
        <v>5</v>
      </c>
      <c r="R14" s="92">
        <v>5</v>
      </c>
      <c r="S14" s="93">
        <v>5</v>
      </c>
      <c r="T14" s="92">
        <f t="shared" si="0"/>
        <v>18</v>
      </c>
      <c r="U14" s="95">
        <f t="shared" si="1"/>
        <v>18</v>
      </c>
      <c r="V14" s="67">
        <f t="shared" si="3"/>
        <v>0</v>
      </c>
      <c r="W14" s="67" t="str">
        <f>IF(V14&gt;(MEDIAN(Scoring!V:V)+_xlfn.STDEV.P(Scoring!V:V)),"YES","")</f>
        <v/>
      </c>
      <c r="X14" s="67" t="str">
        <f>IF($W14="YES",VLOOKUP($A14,'Editors Rescore'!$A$2:$M$63,13,FALSE),"")</f>
        <v/>
      </c>
      <c r="Y14" s="81">
        <f t="shared" si="2"/>
        <v>18</v>
      </c>
    </row>
    <row r="15" spans="1:25" ht="32.15" customHeight="1" x14ac:dyDescent="0.3">
      <c r="A15" s="114" t="s">
        <v>203</v>
      </c>
      <c r="B15" s="113" t="s">
        <v>357</v>
      </c>
      <c r="C15" s="113" t="s">
        <v>24</v>
      </c>
      <c r="D15" s="97" t="s">
        <v>17</v>
      </c>
      <c r="E15" s="93" t="s">
        <v>18</v>
      </c>
      <c r="F15" s="96">
        <v>31193827</v>
      </c>
      <c r="G15" s="97" t="s">
        <v>611</v>
      </c>
      <c r="H15" s="98" t="s">
        <v>613</v>
      </c>
      <c r="I15" s="97" t="s">
        <v>612</v>
      </c>
      <c r="J15" s="99"/>
      <c r="K15" s="99"/>
      <c r="L15" s="98">
        <v>5</v>
      </c>
      <c r="M15" s="97">
        <v>6</v>
      </c>
      <c r="N15" s="98">
        <v>4</v>
      </c>
      <c r="O15" s="97">
        <v>4</v>
      </c>
      <c r="P15" s="98">
        <v>5</v>
      </c>
      <c r="Q15" s="97">
        <v>5</v>
      </c>
      <c r="R15" s="98">
        <v>3</v>
      </c>
      <c r="S15" s="97">
        <v>4</v>
      </c>
      <c r="T15" s="92">
        <f t="shared" si="0"/>
        <v>17</v>
      </c>
      <c r="U15" s="95">
        <f t="shared" si="1"/>
        <v>19</v>
      </c>
      <c r="V15" s="67">
        <f t="shared" si="3"/>
        <v>2</v>
      </c>
      <c r="W15" s="67" t="str">
        <f>IF(V15&gt;(MEDIAN(Scoring!V:V)+_xlfn.STDEV.P(Scoring!V:V)),"YES","")</f>
        <v/>
      </c>
      <c r="X15" s="67" t="str">
        <f>IF($W15="YES",VLOOKUP($A15,'Editors Rescore'!$A$2:$M$63,13,FALSE),"")</f>
        <v/>
      </c>
      <c r="Y15" s="81">
        <f t="shared" si="2"/>
        <v>18</v>
      </c>
    </row>
    <row r="16" spans="1:25" ht="16" customHeight="1" x14ac:dyDescent="0.3">
      <c r="A16" s="114" t="s">
        <v>108</v>
      </c>
      <c r="B16" s="140" t="s">
        <v>906</v>
      </c>
      <c r="C16" s="114" t="s">
        <v>109</v>
      </c>
      <c r="D16" s="93" t="s">
        <v>29</v>
      </c>
      <c r="E16" s="93" t="s">
        <v>18</v>
      </c>
      <c r="F16" s="96">
        <v>31104832</v>
      </c>
      <c r="G16" s="93" t="s">
        <v>619</v>
      </c>
      <c r="H16" s="92" t="s">
        <v>621</v>
      </c>
      <c r="I16" s="93" t="s">
        <v>620</v>
      </c>
      <c r="J16" s="94"/>
      <c r="K16" s="94"/>
      <c r="L16" s="92">
        <v>5</v>
      </c>
      <c r="M16" s="93">
        <v>5</v>
      </c>
      <c r="N16" s="92">
        <v>4</v>
      </c>
      <c r="O16" s="93">
        <v>4</v>
      </c>
      <c r="P16" s="92">
        <v>5</v>
      </c>
      <c r="Q16" s="93">
        <v>4</v>
      </c>
      <c r="R16" s="92">
        <v>4</v>
      </c>
      <c r="S16" s="93">
        <v>5</v>
      </c>
      <c r="T16" s="92">
        <f t="shared" si="0"/>
        <v>18</v>
      </c>
      <c r="U16" s="95">
        <f t="shared" si="1"/>
        <v>18</v>
      </c>
      <c r="V16" s="67">
        <f t="shared" si="3"/>
        <v>0</v>
      </c>
      <c r="W16" s="67" t="str">
        <f>IF(V16&gt;(MEDIAN(Scoring!V:V)+_xlfn.STDEV.P(Scoring!V:V)),"YES","")</f>
        <v/>
      </c>
      <c r="X16" s="67" t="str">
        <f>IF($W16="YES",VLOOKUP($A16,'Editors Rescore'!$A$2:$M$63,13,FALSE),"")</f>
        <v/>
      </c>
      <c r="Y16" s="81">
        <f t="shared" si="2"/>
        <v>18</v>
      </c>
    </row>
    <row r="17" spans="1:25" ht="32.15" customHeight="1" x14ac:dyDescent="0.3">
      <c r="A17" s="114" t="s">
        <v>173</v>
      </c>
      <c r="B17" s="114" t="s">
        <v>174</v>
      </c>
      <c r="C17" s="114" t="s">
        <v>175</v>
      </c>
      <c r="D17" s="111" t="s">
        <v>25</v>
      </c>
      <c r="E17" s="93" t="s">
        <v>18</v>
      </c>
      <c r="F17" s="96">
        <v>31179944</v>
      </c>
      <c r="G17" s="93" t="s">
        <v>619</v>
      </c>
      <c r="H17" s="98" t="s">
        <v>623</v>
      </c>
      <c r="I17" s="93" t="s">
        <v>622</v>
      </c>
      <c r="J17" s="94"/>
      <c r="K17" s="94"/>
      <c r="L17" s="98">
        <v>4</v>
      </c>
      <c r="M17" s="93">
        <v>5</v>
      </c>
      <c r="N17" s="98">
        <v>4</v>
      </c>
      <c r="O17" s="93">
        <v>4</v>
      </c>
      <c r="P17" s="98">
        <v>5</v>
      </c>
      <c r="Q17" s="93">
        <v>5</v>
      </c>
      <c r="R17" s="98">
        <v>5</v>
      </c>
      <c r="S17" s="93">
        <v>4</v>
      </c>
      <c r="T17" s="92">
        <f t="shared" si="0"/>
        <v>18</v>
      </c>
      <c r="U17" s="95">
        <f t="shared" si="1"/>
        <v>18</v>
      </c>
      <c r="V17" s="67">
        <f t="shared" si="3"/>
        <v>0</v>
      </c>
      <c r="W17" s="67" t="str">
        <f>IF(V17&gt;(MEDIAN(Scoring!V:V)+_xlfn.STDEV.P(Scoring!V:V)),"YES","")</f>
        <v/>
      </c>
      <c r="X17" s="67" t="str">
        <f>IF($W17="YES",VLOOKUP($A17,'Editors Rescore'!$A$2:$M$63,13,FALSE),"")</f>
        <v/>
      </c>
      <c r="Y17" s="81">
        <f t="shared" si="2"/>
        <v>18</v>
      </c>
    </row>
    <row r="18" spans="1:25" ht="32.15" customHeight="1" x14ac:dyDescent="0.3">
      <c r="A18" s="123" t="s">
        <v>12</v>
      </c>
      <c r="B18" s="128" t="s">
        <v>670</v>
      </c>
      <c r="C18" s="114" t="s">
        <v>14</v>
      </c>
      <c r="D18" s="103" t="s">
        <v>17</v>
      </c>
      <c r="E18" s="103" t="s">
        <v>19</v>
      </c>
      <c r="F18" s="103">
        <v>30691395</v>
      </c>
      <c r="G18" s="104" t="s">
        <v>20</v>
      </c>
      <c r="H18" s="105" t="s">
        <v>21</v>
      </c>
      <c r="I18" s="104" t="s">
        <v>606</v>
      </c>
      <c r="J18" s="105">
        <v>5</v>
      </c>
      <c r="K18" s="104">
        <v>5</v>
      </c>
      <c r="L18" s="105">
        <v>5</v>
      </c>
      <c r="M18" s="104">
        <v>3</v>
      </c>
      <c r="N18" s="106"/>
      <c r="O18" s="106"/>
      <c r="P18" s="105">
        <v>5</v>
      </c>
      <c r="Q18" s="104">
        <v>3</v>
      </c>
      <c r="R18" s="105">
        <v>5</v>
      </c>
      <c r="S18" s="104">
        <v>2</v>
      </c>
      <c r="T18" s="92">
        <f t="shared" si="0"/>
        <v>20</v>
      </c>
      <c r="U18" s="95">
        <f t="shared" si="1"/>
        <v>13</v>
      </c>
      <c r="V18" s="67">
        <f t="shared" si="3"/>
        <v>7</v>
      </c>
      <c r="W18" s="67" t="str">
        <f>IF(V18&gt;(MEDIAN(Scoring!V:V)+_xlfn.STDEV.P(Scoring!V:V)),"YES","")</f>
        <v>YES</v>
      </c>
      <c r="X18" s="67">
        <f>IF($W18="YES",VLOOKUP($A18,'Editors Rescore'!$A$2:$M$63,13,FALSE),"")</f>
        <v>20</v>
      </c>
      <c r="Y18" s="81">
        <f t="shared" si="2"/>
        <v>17.666666666666668</v>
      </c>
    </row>
    <row r="19" spans="1:25" ht="32.15" customHeight="1" x14ac:dyDescent="0.3">
      <c r="A19" s="114" t="s">
        <v>204</v>
      </c>
      <c r="B19" s="115" t="s">
        <v>637</v>
      </c>
      <c r="C19" s="113" t="s">
        <v>116</v>
      </c>
      <c r="D19" s="97" t="s">
        <v>17</v>
      </c>
      <c r="E19" s="93" t="s">
        <v>18</v>
      </c>
      <c r="F19" s="96">
        <v>31050703</v>
      </c>
      <c r="G19" s="93" t="s">
        <v>128</v>
      </c>
      <c r="H19" s="92" t="s">
        <v>608</v>
      </c>
      <c r="I19" s="93" t="s">
        <v>607</v>
      </c>
      <c r="J19" s="94"/>
      <c r="K19" s="94"/>
      <c r="L19" s="92">
        <v>4</v>
      </c>
      <c r="M19" s="93">
        <v>5</v>
      </c>
      <c r="N19" s="92">
        <v>4</v>
      </c>
      <c r="O19" s="93">
        <v>4</v>
      </c>
      <c r="P19" s="92">
        <v>5</v>
      </c>
      <c r="Q19" s="93">
        <v>5</v>
      </c>
      <c r="R19" s="92">
        <v>4</v>
      </c>
      <c r="S19" s="93">
        <v>4</v>
      </c>
      <c r="T19" s="92">
        <f t="shared" si="0"/>
        <v>17</v>
      </c>
      <c r="U19" s="95">
        <f t="shared" si="1"/>
        <v>18</v>
      </c>
      <c r="V19" s="67">
        <f t="shared" si="3"/>
        <v>1</v>
      </c>
      <c r="W19" s="67" t="str">
        <f>IF(V19&gt;(MEDIAN(Scoring!V:V)+_xlfn.STDEV.P(Scoring!V:V)),"YES","")</f>
        <v/>
      </c>
      <c r="X19" s="67" t="str">
        <f>IF($W19="YES",VLOOKUP($A19,'Editors Rescore'!$A$2:$M$63,13,FALSE),"")</f>
        <v/>
      </c>
      <c r="Y19" s="81">
        <f t="shared" si="2"/>
        <v>17.5</v>
      </c>
    </row>
    <row r="20" spans="1:25" ht="16" customHeight="1" x14ac:dyDescent="0.3">
      <c r="A20" s="114" t="s">
        <v>131</v>
      </c>
      <c r="B20" s="128" t="s">
        <v>654</v>
      </c>
      <c r="C20" s="114" t="s">
        <v>133</v>
      </c>
      <c r="D20" s="93" t="s">
        <v>25</v>
      </c>
      <c r="E20" s="93" t="s">
        <v>18</v>
      </c>
      <c r="F20" s="96">
        <v>31245617</v>
      </c>
      <c r="G20" s="93" t="s">
        <v>619</v>
      </c>
      <c r="H20" s="92" t="s">
        <v>622</v>
      </c>
      <c r="I20" s="93" t="s">
        <v>623</v>
      </c>
      <c r="J20" s="94"/>
      <c r="K20" s="94"/>
      <c r="L20" s="92">
        <v>4</v>
      </c>
      <c r="M20" s="93">
        <v>4</v>
      </c>
      <c r="N20" s="92">
        <v>4</v>
      </c>
      <c r="O20" s="93">
        <v>4</v>
      </c>
      <c r="P20" s="92">
        <v>5</v>
      </c>
      <c r="Q20" s="93">
        <v>5</v>
      </c>
      <c r="R20" s="92">
        <v>4</v>
      </c>
      <c r="S20" s="93">
        <v>5</v>
      </c>
      <c r="T20" s="92">
        <f t="shared" si="0"/>
        <v>17</v>
      </c>
      <c r="U20" s="95">
        <f t="shared" si="1"/>
        <v>18</v>
      </c>
      <c r="V20" s="67">
        <f t="shared" si="3"/>
        <v>1</v>
      </c>
      <c r="W20" s="67" t="str">
        <f>IF(V20&gt;(MEDIAN(Scoring!V:V)+_xlfn.STDEV.P(Scoring!V:V)),"YES","")</f>
        <v/>
      </c>
      <c r="X20" s="67" t="str">
        <f>IF($W20="YES",VLOOKUP($A20,'Editors Rescore'!$A$2:$M$63,13,FALSE),"")</f>
        <v/>
      </c>
      <c r="Y20" s="81">
        <f t="shared" si="2"/>
        <v>17.5</v>
      </c>
    </row>
    <row r="21" spans="1:25" ht="32.15" customHeight="1" x14ac:dyDescent="0.3">
      <c r="A21" s="114" t="s">
        <v>136</v>
      </c>
      <c r="B21" s="114" t="s">
        <v>137</v>
      </c>
      <c r="C21" s="114" t="s">
        <v>138</v>
      </c>
      <c r="D21" s="93" t="s">
        <v>29</v>
      </c>
      <c r="E21" s="93" t="s">
        <v>18</v>
      </c>
      <c r="F21" s="96">
        <v>30899559</v>
      </c>
      <c r="G21" s="93" t="s">
        <v>619</v>
      </c>
      <c r="H21" s="92" t="s">
        <v>622</v>
      </c>
      <c r="I21" s="93" t="s">
        <v>623</v>
      </c>
      <c r="J21" s="94"/>
      <c r="K21" s="94"/>
      <c r="L21" s="92">
        <v>4</v>
      </c>
      <c r="M21" s="93">
        <v>4</v>
      </c>
      <c r="N21" s="92">
        <v>4</v>
      </c>
      <c r="O21" s="93">
        <v>4</v>
      </c>
      <c r="P21" s="92">
        <v>5</v>
      </c>
      <c r="Q21" s="93">
        <v>5</v>
      </c>
      <c r="R21" s="92">
        <v>4</v>
      </c>
      <c r="S21" s="93">
        <v>5</v>
      </c>
      <c r="T21" s="92">
        <f t="shared" si="0"/>
        <v>17</v>
      </c>
      <c r="U21" s="95">
        <f t="shared" si="1"/>
        <v>18</v>
      </c>
      <c r="V21" s="67">
        <f t="shared" si="3"/>
        <v>1</v>
      </c>
      <c r="W21" s="67" t="str">
        <f>IF(V21&gt;(MEDIAN(Scoring!V:V)+_xlfn.STDEV.P(Scoring!V:V)),"YES","")</f>
        <v/>
      </c>
      <c r="X21" s="67" t="str">
        <f>IF($W21="YES",VLOOKUP($A21,'Editors Rescore'!$A$2:$M$63,13,FALSE),"")</f>
        <v/>
      </c>
      <c r="Y21" s="81">
        <f t="shared" si="2"/>
        <v>17.5</v>
      </c>
    </row>
    <row r="22" spans="1:25" ht="32.15" customHeight="1" x14ac:dyDescent="0.3">
      <c r="A22" s="2" t="s">
        <v>193</v>
      </c>
      <c r="B22" s="2" t="s">
        <v>700</v>
      </c>
      <c r="C22" s="2" t="s">
        <v>99</v>
      </c>
      <c r="D22" s="68" t="s">
        <v>17</v>
      </c>
      <c r="E22" s="68" t="s">
        <v>18</v>
      </c>
      <c r="F22" s="69">
        <v>30975098</v>
      </c>
      <c r="G22" s="68" t="s">
        <v>611</v>
      </c>
      <c r="H22" s="92" t="s">
        <v>614</v>
      </c>
      <c r="I22" s="93" t="s">
        <v>615</v>
      </c>
      <c r="J22" s="94"/>
      <c r="K22" s="94"/>
      <c r="L22" s="70">
        <v>4</v>
      </c>
      <c r="M22" s="68">
        <v>4</v>
      </c>
      <c r="N22" s="70">
        <v>4</v>
      </c>
      <c r="O22" s="68">
        <v>4</v>
      </c>
      <c r="P22" s="70">
        <v>4</v>
      </c>
      <c r="Q22" s="68">
        <v>5</v>
      </c>
      <c r="R22" s="70">
        <v>5</v>
      </c>
      <c r="S22" s="93">
        <v>5</v>
      </c>
      <c r="T22" s="92">
        <f t="shared" si="0"/>
        <v>17</v>
      </c>
      <c r="U22" s="95">
        <f t="shared" si="1"/>
        <v>18</v>
      </c>
      <c r="V22" s="67">
        <f t="shared" si="3"/>
        <v>1</v>
      </c>
      <c r="W22" s="67" t="str">
        <f>IF(V22&gt;(MEDIAN(Scoring!V:V)+_xlfn.STDEV.P(Scoring!V:V)),"YES","")</f>
        <v/>
      </c>
      <c r="X22" s="67" t="str">
        <f>IF($W22="YES",VLOOKUP($A22,'Editors Rescore'!$A$2:$M$63,13,FALSE),"")</f>
        <v/>
      </c>
      <c r="Y22" s="81">
        <f t="shared" si="2"/>
        <v>17.5</v>
      </c>
    </row>
    <row r="23" spans="1:25" ht="32.15" customHeight="1" x14ac:dyDescent="0.3">
      <c r="A23" s="114" t="s">
        <v>283</v>
      </c>
      <c r="B23" s="128" t="s">
        <v>702</v>
      </c>
      <c r="C23" s="114" t="s">
        <v>284</v>
      </c>
      <c r="D23" s="93" t="s">
        <v>17</v>
      </c>
      <c r="E23" s="93" t="s">
        <v>18</v>
      </c>
      <c r="F23" s="96">
        <v>30732580</v>
      </c>
      <c r="G23" s="93" t="s">
        <v>128</v>
      </c>
      <c r="H23" s="92" t="s">
        <v>607</v>
      </c>
      <c r="I23" s="93" t="s">
        <v>608</v>
      </c>
      <c r="J23" s="94"/>
      <c r="K23" s="94"/>
      <c r="L23" s="92">
        <v>5</v>
      </c>
      <c r="M23" s="93">
        <v>5</v>
      </c>
      <c r="N23" s="92">
        <v>4</v>
      </c>
      <c r="O23" s="93">
        <v>4</v>
      </c>
      <c r="P23" s="92">
        <v>5</v>
      </c>
      <c r="Q23" s="93">
        <v>5</v>
      </c>
      <c r="R23" s="92">
        <v>4</v>
      </c>
      <c r="S23" s="93">
        <v>3</v>
      </c>
      <c r="T23" s="92">
        <f t="shared" si="0"/>
        <v>18</v>
      </c>
      <c r="U23" s="95">
        <f t="shared" si="1"/>
        <v>17</v>
      </c>
      <c r="V23" s="67">
        <f t="shared" si="3"/>
        <v>1</v>
      </c>
      <c r="W23" s="67" t="str">
        <f>IF(V23&gt;(MEDIAN(Scoring!V:V)+_xlfn.STDEV.P(Scoring!V:V)),"YES","")</f>
        <v/>
      </c>
      <c r="X23" s="67" t="str">
        <f>IF($W23="YES",VLOOKUP($A23,'Editors Rescore'!$A$2:$M$63,13,FALSE),"")</f>
        <v/>
      </c>
      <c r="Y23" s="81">
        <f t="shared" si="2"/>
        <v>17.5</v>
      </c>
    </row>
    <row r="24" spans="1:25" ht="32.15" customHeight="1" x14ac:dyDescent="0.3">
      <c r="A24" s="124" t="s">
        <v>427</v>
      </c>
      <c r="B24" s="112" t="s">
        <v>428</v>
      </c>
      <c r="C24" s="116" t="s">
        <v>313</v>
      </c>
      <c r="D24" s="4" t="s">
        <v>17</v>
      </c>
      <c r="E24" s="4" t="s">
        <v>18</v>
      </c>
      <c r="F24" s="8">
        <v>31889889</v>
      </c>
      <c r="G24" s="76" t="s">
        <v>619</v>
      </c>
      <c r="H24" s="83" t="s">
        <v>622</v>
      </c>
      <c r="I24" s="76" t="s">
        <v>623</v>
      </c>
      <c r="J24" s="79"/>
      <c r="K24" s="79"/>
      <c r="L24" s="85">
        <v>4</v>
      </c>
      <c r="M24" s="76">
        <v>4</v>
      </c>
      <c r="N24" s="85">
        <v>4</v>
      </c>
      <c r="O24" s="76">
        <v>4</v>
      </c>
      <c r="P24" s="85">
        <v>5</v>
      </c>
      <c r="Q24" s="76">
        <v>5</v>
      </c>
      <c r="R24" s="85">
        <v>4</v>
      </c>
      <c r="S24" s="76">
        <v>5</v>
      </c>
      <c r="T24" s="92">
        <f t="shared" si="0"/>
        <v>17</v>
      </c>
      <c r="U24" s="95">
        <f t="shared" si="1"/>
        <v>18</v>
      </c>
      <c r="V24" s="67">
        <f t="shared" si="3"/>
        <v>1</v>
      </c>
      <c r="W24" s="67" t="str">
        <f>IF(V24&gt;(MEDIAN(Scoring!V:V)+_xlfn.STDEV.P(Scoring!V:V)),"YES","")</f>
        <v/>
      </c>
      <c r="X24" s="67" t="str">
        <f>IF($W24="YES",VLOOKUP($A24,'Editors Rescore'!$A$2:$M$63,13,FALSE),"")</f>
        <v/>
      </c>
      <c r="Y24" s="81">
        <f t="shared" si="2"/>
        <v>17.5</v>
      </c>
    </row>
    <row r="25" spans="1:25" ht="16" customHeight="1" x14ac:dyDescent="0.3">
      <c r="A25" s="131" t="s">
        <v>537</v>
      </c>
      <c r="B25" s="112" t="s">
        <v>538</v>
      </c>
      <c r="C25" s="112" t="s">
        <v>539</v>
      </c>
      <c r="D25" s="4" t="s">
        <v>17</v>
      </c>
      <c r="E25" s="4" t="s">
        <v>18</v>
      </c>
      <c r="F25" s="4">
        <v>31775837</v>
      </c>
      <c r="G25" s="76" t="s">
        <v>605</v>
      </c>
      <c r="H25" s="77" t="s">
        <v>626</v>
      </c>
      <c r="I25" s="76" t="s">
        <v>318</v>
      </c>
      <c r="J25" s="79"/>
      <c r="K25" s="79"/>
      <c r="L25" s="77">
        <v>4</v>
      </c>
      <c r="M25" s="76">
        <v>4</v>
      </c>
      <c r="N25" s="77">
        <v>4</v>
      </c>
      <c r="O25" s="76">
        <v>4</v>
      </c>
      <c r="P25" s="77">
        <v>5</v>
      </c>
      <c r="Q25" s="76">
        <v>5</v>
      </c>
      <c r="R25" s="77">
        <v>5</v>
      </c>
      <c r="S25" s="76">
        <v>4</v>
      </c>
      <c r="T25" s="92">
        <f t="shared" si="0"/>
        <v>18</v>
      </c>
      <c r="U25" s="95">
        <f t="shared" si="1"/>
        <v>17</v>
      </c>
      <c r="V25" s="67">
        <f t="shared" si="3"/>
        <v>1</v>
      </c>
      <c r="W25" s="67" t="str">
        <f>IF(V25&gt;(MEDIAN(Scoring!V:V)+_xlfn.STDEV.P(Scoring!V:V)),"YES","")</f>
        <v/>
      </c>
      <c r="X25" s="67" t="str">
        <f>IF($W25="YES",VLOOKUP($A25,'Editors Rescore'!$A$2:$M$63,13,FALSE),"")</f>
        <v/>
      </c>
      <c r="Y25" s="81">
        <f t="shared" si="2"/>
        <v>17.5</v>
      </c>
    </row>
    <row r="26" spans="1:25" ht="32.15" customHeight="1" x14ac:dyDescent="0.3">
      <c r="A26" s="114" t="s">
        <v>106</v>
      </c>
      <c r="B26" s="150" t="s">
        <v>746</v>
      </c>
      <c r="C26" s="113" t="s">
        <v>107</v>
      </c>
      <c r="D26" s="97" t="s">
        <v>17</v>
      </c>
      <c r="E26" s="93" t="s">
        <v>18</v>
      </c>
      <c r="F26" s="96">
        <v>31075779</v>
      </c>
      <c r="G26" s="93" t="s">
        <v>619</v>
      </c>
      <c r="H26" s="92" t="s">
        <v>621</v>
      </c>
      <c r="I26" s="93" t="s">
        <v>620</v>
      </c>
      <c r="J26" s="94"/>
      <c r="K26" s="94"/>
      <c r="L26" s="92">
        <v>4</v>
      </c>
      <c r="M26" s="93">
        <v>4</v>
      </c>
      <c r="N26" s="92">
        <v>4</v>
      </c>
      <c r="O26" s="93">
        <v>3</v>
      </c>
      <c r="P26" s="92">
        <v>5</v>
      </c>
      <c r="Q26" s="93">
        <v>5</v>
      </c>
      <c r="R26" s="92">
        <v>5</v>
      </c>
      <c r="S26" s="93">
        <v>5</v>
      </c>
      <c r="T26" s="92">
        <f t="shared" si="0"/>
        <v>18</v>
      </c>
      <c r="U26" s="95">
        <f t="shared" si="1"/>
        <v>17</v>
      </c>
      <c r="V26" s="67">
        <f t="shared" si="3"/>
        <v>1</v>
      </c>
      <c r="W26" s="67" t="str">
        <f>IF(V26&gt;(MEDIAN(Scoring!V:V)+_xlfn.STDEV.P(Scoring!V:V)),"YES","")</f>
        <v/>
      </c>
      <c r="X26" s="67" t="str">
        <f>IF($W26="YES",VLOOKUP($A26,'Editors Rescore'!$A$2:$M$63,13,FALSE),"")</f>
        <v/>
      </c>
      <c r="Y26" s="81">
        <f t="shared" si="2"/>
        <v>17.5</v>
      </c>
    </row>
    <row r="27" spans="1:25" ht="16" customHeight="1" x14ac:dyDescent="0.3">
      <c r="A27" s="122" t="s">
        <v>188</v>
      </c>
      <c r="B27" s="115" t="s">
        <v>791</v>
      </c>
      <c r="C27" s="115" t="s">
        <v>99</v>
      </c>
      <c r="D27" s="76" t="s">
        <v>17</v>
      </c>
      <c r="E27" s="4" t="s">
        <v>18</v>
      </c>
      <c r="F27" s="4">
        <v>31481123</v>
      </c>
      <c r="G27" s="4" t="s">
        <v>616</v>
      </c>
      <c r="H27" s="5" t="s">
        <v>465</v>
      </c>
      <c r="I27" s="4" t="s">
        <v>604</v>
      </c>
      <c r="J27" s="11"/>
      <c r="K27" s="11"/>
      <c r="L27" s="6">
        <v>4</v>
      </c>
      <c r="M27" s="4">
        <v>4</v>
      </c>
      <c r="N27" s="6">
        <v>4</v>
      </c>
      <c r="O27" s="4">
        <v>4</v>
      </c>
      <c r="P27" s="6">
        <v>5</v>
      </c>
      <c r="Q27" s="4">
        <v>5</v>
      </c>
      <c r="R27" s="6">
        <v>5</v>
      </c>
      <c r="S27" s="4">
        <v>4</v>
      </c>
      <c r="T27" s="92">
        <f t="shared" si="0"/>
        <v>18</v>
      </c>
      <c r="U27" s="95">
        <f t="shared" si="1"/>
        <v>17</v>
      </c>
      <c r="V27" s="67">
        <f t="shared" si="3"/>
        <v>1</v>
      </c>
      <c r="W27" s="67" t="str">
        <f>IF(V27&gt;(MEDIAN(Scoring!V:V)+_xlfn.STDEV.P(Scoring!V:V)),"YES","")</f>
        <v/>
      </c>
      <c r="X27" s="67" t="str">
        <f>IF($W27="YES",VLOOKUP($A27,'Editors Rescore'!$A$2:$M$63,13,FALSE),"")</f>
        <v/>
      </c>
      <c r="Y27" s="81">
        <f t="shared" si="2"/>
        <v>17.5</v>
      </c>
    </row>
    <row r="28" spans="1:25" ht="16" customHeight="1" x14ac:dyDescent="0.3">
      <c r="A28" s="114" t="s">
        <v>103</v>
      </c>
      <c r="B28" s="113" t="s">
        <v>104</v>
      </c>
      <c r="C28" s="113" t="s">
        <v>105</v>
      </c>
      <c r="D28" s="97" t="s">
        <v>17</v>
      </c>
      <c r="E28" s="93" t="s">
        <v>18</v>
      </c>
      <c r="F28" s="96">
        <v>31346474</v>
      </c>
      <c r="G28" s="93" t="s">
        <v>619</v>
      </c>
      <c r="H28" s="92" t="s">
        <v>621</v>
      </c>
      <c r="I28" s="93" t="s">
        <v>620</v>
      </c>
      <c r="J28" s="94"/>
      <c r="K28" s="94"/>
      <c r="L28" s="92">
        <v>5</v>
      </c>
      <c r="M28" s="93">
        <v>4</v>
      </c>
      <c r="N28" s="92">
        <v>3</v>
      </c>
      <c r="O28" s="93">
        <v>4</v>
      </c>
      <c r="P28" s="92">
        <v>5</v>
      </c>
      <c r="Q28" s="93">
        <v>4</v>
      </c>
      <c r="R28" s="92">
        <v>5</v>
      </c>
      <c r="S28" s="93">
        <v>5</v>
      </c>
      <c r="T28" s="92">
        <f t="shared" si="0"/>
        <v>18</v>
      </c>
      <c r="U28" s="95">
        <f t="shared" si="1"/>
        <v>17</v>
      </c>
      <c r="V28" s="67">
        <f t="shared" si="3"/>
        <v>1</v>
      </c>
      <c r="W28" s="67" t="str">
        <f>IF(V28&gt;(MEDIAN(Scoring!V:V)+_xlfn.STDEV.P(Scoring!V:V)),"YES","")</f>
        <v/>
      </c>
      <c r="X28" s="67" t="str">
        <f>IF($W28="YES",VLOOKUP($A28,'Editors Rescore'!$A$2:$M$63,13,FALSE),"")</f>
        <v/>
      </c>
      <c r="Y28" s="81">
        <f t="shared" si="2"/>
        <v>17.5</v>
      </c>
    </row>
    <row r="29" spans="1:25" ht="32.15" customHeight="1" x14ac:dyDescent="0.3">
      <c r="A29" s="122" t="s">
        <v>543</v>
      </c>
      <c r="B29" s="112" t="s">
        <v>875</v>
      </c>
      <c r="C29" s="112" t="s">
        <v>544</v>
      </c>
      <c r="D29" s="4" t="s">
        <v>17</v>
      </c>
      <c r="E29" s="4" t="s">
        <v>18</v>
      </c>
      <c r="F29" s="4">
        <v>31631023</v>
      </c>
      <c r="G29" s="76" t="s">
        <v>605</v>
      </c>
      <c r="H29" s="77" t="s">
        <v>318</v>
      </c>
      <c r="I29" s="76" t="s">
        <v>626</v>
      </c>
      <c r="J29" s="79"/>
      <c r="K29" s="79"/>
      <c r="L29" s="77">
        <v>4</v>
      </c>
      <c r="M29" s="76">
        <v>4</v>
      </c>
      <c r="N29" s="77">
        <v>4</v>
      </c>
      <c r="O29" s="76">
        <v>4</v>
      </c>
      <c r="P29" s="77">
        <v>5</v>
      </c>
      <c r="Q29" s="76">
        <v>5</v>
      </c>
      <c r="R29" s="77">
        <v>4</v>
      </c>
      <c r="S29" s="76">
        <v>5</v>
      </c>
      <c r="T29" s="92">
        <f t="shared" si="0"/>
        <v>17</v>
      </c>
      <c r="U29" s="95">
        <f t="shared" si="1"/>
        <v>18</v>
      </c>
      <c r="V29" s="67">
        <f t="shared" si="3"/>
        <v>1</v>
      </c>
      <c r="W29" s="67" t="str">
        <f>IF(V29&gt;(MEDIAN(Scoring!V:V)+_xlfn.STDEV.P(Scoring!V:V)),"YES","")</f>
        <v/>
      </c>
      <c r="X29" s="67" t="str">
        <f>IF($W29="YES",VLOOKUP($A29,'Editors Rescore'!$A$2:$M$63,13,FALSE),"")</f>
        <v/>
      </c>
      <c r="Y29" s="81">
        <f t="shared" si="2"/>
        <v>17.5</v>
      </c>
    </row>
    <row r="30" spans="1:25" ht="16" customHeight="1" x14ac:dyDescent="0.3">
      <c r="A30" s="138" t="s">
        <v>879</v>
      </c>
      <c r="B30" s="138" t="s">
        <v>880</v>
      </c>
      <c r="C30" s="114" t="s">
        <v>179</v>
      </c>
      <c r="D30" s="93" t="s">
        <v>17</v>
      </c>
      <c r="E30" s="93" t="s">
        <v>18</v>
      </c>
      <c r="F30" s="96">
        <v>30992308</v>
      </c>
      <c r="G30" s="93" t="s">
        <v>611</v>
      </c>
      <c r="H30" s="92" t="s">
        <v>615</v>
      </c>
      <c r="I30" s="93" t="s">
        <v>614</v>
      </c>
      <c r="J30" s="94"/>
      <c r="K30" s="94"/>
      <c r="L30" s="92">
        <v>4</v>
      </c>
      <c r="M30" s="93">
        <v>4</v>
      </c>
      <c r="N30" s="92">
        <v>4</v>
      </c>
      <c r="O30" s="93">
        <v>4</v>
      </c>
      <c r="P30" s="92">
        <v>5</v>
      </c>
      <c r="Q30" s="93">
        <v>5</v>
      </c>
      <c r="R30" s="92">
        <v>4</v>
      </c>
      <c r="S30" s="93">
        <v>5</v>
      </c>
      <c r="T30" s="92">
        <f t="shared" si="0"/>
        <v>17</v>
      </c>
      <c r="U30" s="95">
        <f t="shared" si="1"/>
        <v>18</v>
      </c>
      <c r="V30" s="67">
        <f t="shared" si="3"/>
        <v>1</v>
      </c>
      <c r="W30" s="67" t="str">
        <f>IF(V30&gt;(MEDIAN(Scoring!V:V)+_xlfn.STDEV.P(Scoring!V:V)),"YES","")</f>
        <v/>
      </c>
      <c r="X30" s="67" t="str">
        <f>IF($W30="YES",VLOOKUP($A30,'Editors Rescore'!$A$2:$M$63,13,FALSE),"")</f>
        <v/>
      </c>
      <c r="Y30" s="81">
        <f t="shared" si="2"/>
        <v>17.5</v>
      </c>
    </row>
    <row r="31" spans="1:25" ht="32.15" customHeight="1" x14ac:dyDescent="0.3">
      <c r="A31" s="122" t="s">
        <v>887</v>
      </c>
      <c r="B31" s="115" t="s">
        <v>886</v>
      </c>
      <c r="C31" s="115" t="s">
        <v>472</v>
      </c>
      <c r="D31" s="76" t="s">
        <v>17</v>
      </c>
      <c r="E31" s="4" t="s">
        <v>18</v>
      </c>
      <c r="F31" s="4">
        <v>31229628</v>
      </c>
      <c r="G31" s="4" t="s">
        <v>616</v>
      </c>
      <c r="H31" s="5" t="s">
        <v>604</v>
      </c>
      <c r="I31" s="4" t="s">
        <v>465</v>
      </c>
      <c r="J31" s="11"/>
      <c r="K31" s="11"/>
      <c r="L31" s="6">
        <v>5</v>
      </c>
      <c r="M31" s="4">
        <v>5</v>
      </c>
      <c r="N31" s="6">
        <v>3</v>
      </c>
      <c r="O31" s="4">
        <v>3</v>
      </c>
      <c r="P31" s="6">
        <v>5</v>
      </c>
      <c r="Q31" s="4">
        <v>5</v>
      </c>
      <c r="R31" s="6">
        <v>4</v>
      </c>
      <c r="S31" s="4">
        <v>5</v>
      </c>
      <c r="T31" s="92">
        <f t="shared" si="0"/>
        <v>17</v>
      </c>
      <c r="U31" s="95">
        <f t="shared" si="1"/>
        <v>18</v>
      </c>
      <c r="V31" s="67">
        <f t="shared" si="3"/>
        <v>1</v>
      </c>
      <c r="W31" s="67" t="str">
        <f>IF(V31&gt;(MEDIAN(Scoring!V:V)+_xlfn.STDEV.P(Scoring!V:V)),"YES","")</f>
        <v/>
      </c>
      <c r="X31" s="67" t="str">
        <f>IF($W31="YES",VLOOKUP($A31,'Editors Rescore'!$A$2:$M$63,13,FALSE),"")</f>
        <v/>
      </c>
      <c r="Y31" s="81">
        <f t="shared" si="2"/>
        <v>17.5</v>
      </c>
    </row>
    <row r="32" spans="1:25" ht="32.15" customHeight="1" x14ac:dyDescent="0.3">
      <c r="A32" s="122" t="s">
        <v>58</v>
      </c>
      <c r="B32" s="112" t="s">
        <v>896</v>
      </c>
      <c r="C32" s="112" t="s">
        <v>59</v>
      </c>
      <c r="D32" s="4" t="s">
        <v>29</v>
      </c>
      <c r="E32" s="4" t="s">
        <v>19</v>
      </c>
      <c r="F32" s="4">
        <v>30866745</v>
      </c>
      <c r="G32" s="4" t="s">
        <v>611</v>
      </c>
      <c r="H32" s="9" t="s">
        <v>614</v>
      </c>
      <c r="I32" s="4" t="s">
        <v>615</v>
      </c>
      <c r="J32" s="9">
        <v>5</v>
      </c>
      <c r="K32" s="4">
        <v>5</v>
      </c>
      <c r="L32" s="9">
        <v>4</v>
      </c>
      <c r="M32" s="4">
        <v>3</v>
      </c>
      <c r="N32" s="11"/>
      <c r="O32" s="11"/>
      <c r="P32" s="9">
        <v>4</v>
      </c>
      <c r="Q32" s="4">
        <v>5</v>
      </c>
      <c r="R32" s="9">
        <v>4</v>
      </c>
      <c r="S32" s="4">
        <v>5</v>
      </c>
      <c r="T32" s="92">
        <f t="shared" si="0"/>
        <v>17</v>
      </c>
      <c r="U32" s="95">
        <f t="shared" si="1"/>
        <v>18</v>
      </c>
      <c r="V32" s="67">
        <f t="shared" si="3"/>
        <v>1</v>
      </c>
      <c r="W32" s="67" t="str">
        <f>IF(V32&gt;(MEDIAN(Scoring!V:V)+_xlfn.STDEV.P(Scoring!V:V)),"YES","")</f>
        <v/>
      </c>
      <c r="X32" s="67" t="str">
        <f>IF($W32="YES",VLOOKUP($A32,'Editors Rescore'!$A$2:$M$63,13,FALSE),"")</f>
        <v/>
      </c>
      <c r="Y32" s="81">
        <f t="shared" si="2"/>
        <v>17.5</v>
      </c>
    </row>
    <row r="33" spans="1:25" ht="32.15" customHeight="1" x14ac:dyDescent="0.3">
      <c r="A33" s="122" t="s">
        <v>545</v>
      </c>
      <c r="B33" s="112" t="s">
        <v>912</v>
      </c>
      <c r="C33" s="112" t="s">
        <v>214</v>
      </c>
      <c r="D33" s="4" t="s">
        <v>17</v>
      </c>
      <c r="E33" s="4" t="s">
        <v>18</v>
      </c>
      <c r="F33" s="4">
        <v>30887710</v>
      </c>
      <c r="G33" s="76" t="s">
        <v>605</v>
      </c>
      <c r="H33" s="77" t="s">
        <v>626</v>
      </c>
      <c r="I33" s="76" t="s">
        <v>318</v>
      </c>
      <c r="J33" s="79"/>
      <c r="K33" s="79"/>
      <c r="L33" s="77">
        <v>4</v>
      </c>
      <c r="M33" s="76">
        <v>4</v>
      </c>
      <c r="N33" s="77">
        <v>4</v>
      </c>
      <c r="O33" s="76">
        <v>4</v>
      </c>
      <c r="P33" s="77">
        <v>5</v>
      </c>
      <c r="Q33" s="76">
        <v>5</v>
      </c>
      <c r="R33" s="77">
        <v>5</v>
      </c>
      <c r="S33" s="76">
        <v>4</v>
      </c>
      <c r="T33" s="92">
        <f t="shared" si="0"/>
        <v>18</v>
      </c>
      <c r="U33" s="95">
        <f t="shared" si="1"/>
        <v>17</v>
      </c>
      <c r="V33" s="67">
        <f t="shared" si="3"/>
        <v>1</v>
      </c>
      <c r="W33" s="67" t="str">
        <f>IF(V33&gt;(MEDIAN(Scoring!V:V)+_xlfn.STDEV.P(Scoring!V:V)),"YES","")</f>
        <v/>
      </c>
      <c r="X33" s="67" t="str">
        <f>IF($W33="YES",VLOOKUP($A33,'Editors Rescore'!$A$2:$M$63,13,FALSE),"")</f>
        <v/>
      </c>
      <c r="Y33" s="81">
        <f t="shared" si="2"/>
        <v>17.5</v>
      </c>
    </row>
    <row r="34" spans="1:25" ht="16" customHeight="1" x14ac:dyDescent="0.3">
      <c r="A34" s="114" t="s">
        <v>126</v>
      </c>
      <c r="B34" s="145" t="s">
        <v>936</v>
      </c>
      <c r="C34" s="113" t="s">
        <v>127</v>
      </c>
      <c r="D34" s="97" t="s">
        <v>17</v>
      </c>
      <c r="E34" s="93" t="s">
        <v>18</v>
      </c>
      <c r="F34" s="96">
        <v>31031172</v>
      </c>
      <c r="G34" s="97" t="s">
        <v>619</v>
      </c>
      <c r="H34" s="98" t="s">
        <v>620</v>
      </c>
      <c r="I34" s="97" t="s">
        <v>621</v>
      </c>
      <c r="J34" s="99"/>
      <c r="K34" s="99"/>
      <c r="L34" s="98">
        <v>4</v>
      </c>
      <c r="M34" s="97">
        <v>4</v>
      </c>
      <c r="N34" s="98">
        <v>4</v>
      </c>
      <c r="O34" s="97">
        <v>4</v>
      </c>
      <c r="P34" s="98">
        <v>5</v>
      </c>
      <c r="Q34" s="97">
        <v>5</v>
      </c>
      <c r="R34" s="98">
        <v>5</v>
      </c>
      <c r="S34" s="97">
        <v>4</v>
      </c>
      <c r="T34" s="92">
        <f t="shared" si="0"/>
        <v>18</v>
      </c>
      <c r="U34" s="95">
        <f t="shared" si="1"/>
        <v>17</v>
      </c>
      <c r="V34" s="67">
        <f t="shared" si="3"/>
        <v>1</v>
      </c>
      <c r="W34" s="67" t="str">
        <f>IF(V34&gt;(MEDIAN(Scoring!V:V)+_xlfn.STDEV.P(Scoring!V:V)),"YES","")</f>
        <v/>
      </c>
      <c r="X34" s="67" t="str">
        <f>IF($W34="YES",VLOOKUP($A34,'Editors Rescore'!$A$2:$M$63,13,FALSE),"")</f>
        <v/>
      </c>
      <c r="Y34" s="81">
        <f t="shared" si="2"/>
        <v>17.5</v>
      </c>
    </row>
    <row r="35" spans="1:25" ht="32.15" customHeight="1" x14ac:dyDescent="0.3">
      <c r="A35" s="124" t="s">
        <v>438</v>
      </c>
      <c r="B35" s="115" t="s">
        <v>948</v>
      </c>
      <c r="C35" s="120" t="s">
        <v>292</v>
      </c>
      <c r="D35" s="76" t="s">
        <v>17</v>
      </c>
      <c r="E35" s="4" t="s">
        <v>18</v>
      </c>
      <c r="F35" s="8">
        <v>28678057</v>
      </c>
      <c r="G35" s="76" t="s">
        <v>619</v>
      </c>
      <c r="H35" s="83" t="s">
        <v>622</v>
      </c>
      <c r="I35" s="76" t="s">
        <v>623</v>
      </c>
      <c r="J35" s="79"/>
      <c r="K35" s="79"/>
      <c r="L35" s="85">
        <v>4</v>
      </c>
      <c r="M35" s="76">
        <v>4</v>
      </c>
      <c r="N35" s="85">
        <v>4</v>
      </c>
      <c r="O35" s="76">
        <v>4</v>
      </c>
      <c r="P35" s="85">
        <v>5</v>
      </c>
      <c r="Q35" s="76">
        <v>5</v>
      </c>
      <c r="R35" s="85">
        <v>5</v>
      </c>
      <c r="S35" s="76">
        <v>4</v>
      </c>
      <c r="T35" s="92">
        <f t="shared" si="0"/>
        <v>18</v>
      </c>
      <c r="U35" s="95">
        <f t="shared" si="1"/>
        <v>17</v>
      </c>
      <c r="V35" s="67">
        <f t="shared" si="3"/>
        <v>1</v>
      </c>
      <c r="W35" s="67" t="str">
        <f>IF(V35&gt;(MEDIAN(Scoring!V:V)+_xlfn.STDEV.P(Scoring!V:V)),"YES","")</f>
        <v/>
      </c>
      <c r="X35" s="67" t="str">
        <f>IF($W35="YES",VLOOKUP($A35,'Editors Rescore'!$A$2:$M$63,13,FALSE),"")</f>
        <v/>
      </c>
      <c r="Y35" s="81">
        <f t="shared" si="2"/>
        <v>17.5</v>
      </c>
    </row>
    <row r="36" spans="1:25" ht="32.15" customHeight="1" x14ac:dyDescent="0.3">
      <c r="A36" s="114" t="s">
        <v>302</v>
      </c>
      <c r="B36" s="128" t="s">
        <v>636</v>
      </c>
      <c r="C36" s="114" t="s">
        <v>210</v>
      </c>
      <c r="D36" s="93" t="s">
        <v>17</v>
      </c>
      <c r="E36" s="93" t="s">
        <v>18</v>
      </c>
      <c r="F36" s="96">
        <v>30554748</v>
      </c>
      <c r="G36" s="93" t="s">
        <v>611</v>
      </c>
      <c r="H36" s="98" t="s">
        <v>612</v>
      </c>
      <c r="I36" s="93" t="s">
        <v>613</v>
      </c>
      <c r="J36" s="94"/>
      <c r="K36" s="94"/>
      <c r="L36" s="98">
        <v>6</v>
      </c>
      <c r="M36" s="93">
        <v>5</v>
      </c>
      <c r="N36" s="98">
        <v>4</v>
      </c>
      <c r="O36" s="93">
        <v>4</v>
      </c>
      <c r="P36" s="98">
        <v>4</v>
      </c>
      <c r="Q36" s="93">
        <v>4</v>
      </c>
      <c r="R36" s="98">
        <v>3</v>
      </c>
      <c r="S36" s="93">
        <v>4</v>
      </c>
      <c r="T36" s="92">
        <f t="shared" si="0"/>
        <v>17</v>
      </c>
      <c r="U36" s="95">
        <f t="shared" si="1"/>
        <v>17</v>
      </c>
      <c r="V36" s="67">
        <f t="shared" si="3"/>
        <v>0</v>
      </c>
      <c r="W36" s="67" t="str">
        <f>IF(V36&gt;(MEDIAN(Scoring!V:V)+_xlfn.STDEV.P(Scoring!V:V)),"YES","")</f>
        <v/>
      </c>
      <c r="X36" s="67" t="str">
        <f>IF($W36="YES",VLOOKUP($A36,'Editors Rescore'!$A$2:$M$63,13,FALSE),"")</f>
        <v/>
      </c>
      <c r="Y36" s="81">
        <f t="shared" si="2"/>
        <v>17</v>
      </c>
    </row>
    <row r="37" spans="1:25" ht="16" customHeight="1" x14ac:dyDescent="0.3">
      <c r="A37" s="114" t="s">
        <v>204</v>
      </c>
      <c r="B37" s="130" t="s">
        <v>294</v>
      </c>
      <c r="C37" s="113" t="s">
        <v>24</v>
      </c>
      <c r="D37" s="97" t="s">
        <v>25</v>
      </c>
      <c r="E37" s="93" t="s">
        <v>18</v>
      </c>
      <c r="F37" s="96">
        <v>30873346</v>
      </c>
      <c r="G37" s="93" t="s">
        <v>128</v>
      </c>
      <c r="H37" s="92" t="s">
        <v>608</v>
      </c>
      <c r="I37" s="93" t="s">
        <v>607</v>
      </c>
      <c r="J37" s="94"/>
      <c r="K37" s="94"/>
      <c r="L37" s="92">
        <v>4</v>
      </c>
      <c r="M37" s="93">
        <v>4</v>
      </c>
      <c r="N37" s="92">
        <v>4</v>
      </c>
      <c r="O37" s="93">
        <v>4</v>
      </c>
      <c r="P37" s="92">
        <v>5</v>
      </c>
      <c r="Q37" s="93">
        <v>5</v>
      </c>
      <c r="R37" s="92">
        <v>4</v>
      </c>
      <c r="S37" s="93">
        <v>4</v>
      </c>
      <c r="T37" s="92">
        <f t="shared" si="0"/>
        <v>17</v>
      </c>
      <c r="U37" s="95">
        <f t="shared" si="1"/>
        <v>17</v>
      </c>
      <c r="V37" s="67">
        <f t="shared" si="3"/>
        <v>0</v>
      </c>
      <c r="W37" s="67" t="str">
        <f>IF(V37&gt;(MEDIAN(Scoring!V:V)+_xlfn.STDEV.P(Scoring!V:V)),"YES","")</f>
        <v/>
      </c>
      <c r="X37" s="67" t="str">
        <f>IF($W37="YES",VLOOKUP($A37,'Editors Rescore'!$A$2:$M$63,13,FALSE),"")</f>
        <v/>
      </c>
      <c r="Y37" s="81">
        <f t="shared" si="2"/>
        <v>17</v>
      </c>
    </row>
    <row r="38" spans="1:25" ht="32.15" customHeight="1" x14ac:dyDescent="0.3">
      <c r="A38" s="2" t="s">
        <v>602</v>
      </c>
      <c r="B38" s="121" t="s">
        <v>648</v>
      </c>
      <c r="C38" s="121" t="s">
        <v>212</v>
      </c>
      <c r="D38" s="82" t="s">
        <v>17</v>
      </c>
      <c r="E38" s="68" t="s">
        <v>18</v>
      </c>
      <c r="F38" s="69">
        <v>30825623</v>
      </c>
      <c r="G38" s="68" t="s">
        <v>605</v>
      </c>
      <c r="H38" s="71" t="s">
        <v>318</v>
      </c>
      <c r="I38" s="68" t="s">
        <v>626</v>
      </c>
      <c r="J38" s="72"/>
      <c r="K38" s="72"/>
      <c r="L38" s="71">
        <v>4</v>
      </c>
      <c r="M38" s="68">
        <v>3</v>
      </c>
      <c r="N38" s="71">
        <v>4</v>
      </c>
      <c r="O38" s="68">
        <v>4</v>
      </c>
      <c r="P38" s="71">
        <v>5</v>
      </c>
      <c r="Q38" s="68">
        <v>5</v>
      </c>
      <c r="R38" s="71">
        <v>4</v>
      </c>
      <c r="S38" s="68">
        <v>5</v>
      </c>
      <c r="T38" s="92">
        <f t="shared" si="0"/>
        <v>17</v>
      </c>
      <c r="U38" s="95">
        <f t="shared" si="1"/>
        <v>17</v>
      </c>
      <c r="V38" s="67">
        <f t="shared" si="3"/>
        <v>0</v>
      </c>
      <c r="W38" s="67" t="str">
        <f>IF(V38&gt;(MEDIAN(Scoring!V:V)+_xlfn.STDEV.P(Scoring!V:V)),"YES","")</f>
        <v/>
      </c>
      <c r="X38" s="67" t="str">
        <f>IF($W38="YES",VLOOKUP($A38,'Editors Rescore'!$A$2:$M$63,13,FALSE),"")</f>
        <v/>
      </c>
      <c r="Y38" s="81">
        <f t="shared" si="2"/>
        <v>17</v>
      </c>
    </row>
    <row r="39" spans="1:25" ht="32.15" customHeight="1" x14ac:dyDescent="0.3">
      <c r="A39" s="122" t="s">
        <v>513</v>
      </c>
      <c r="B39" s="115" t="s">
        <v>514</v>
      </c>
      <c r="C39" s="115" t="s">
        <v>409</v>
      </c>
      <c r="D39" s="76" t="s">
        <v>17</v>
      </c>
      <c r="E39" s="4" t="s">
        <v>18</v>
      </c>
      <c r="F39" s="4">
        <v>31664120</v>
      </c>
      <c r="G39" s="4" t="s">
        <v>611</v>
      </c>
      <c r="H39" s="9" t="s">
        <v>614</v>
      </c>
      <c r="I39" s="4" t="s">
        <v>615</v>
      </c>
      <c r="J39" s="11"/>
      <c r="K39" s="11"/>
      <c r="L39" s="9">
        <v>4</v>
      </c>
      <c r="M39" s="4">
        <v>4</v>
      </c>
      <c r="N39" s="9">
        <v>4</v>
      </c>
      <c r="O39" s="4">
        <v>4</v>
      </c>
      <c r="P39" s="9">
        <v>5</v>
      </c>
      <c r="Q39" s="4">
        <v>5</v>
      </c>
      <c r="R39" s="9">
        <v>4</v>
      </c>
      <c r="S39" s="4">
        <v>4</v>
      </c>
      <c r="T39" s="92">
        <f t="shared" si="0"/>
        <v>17</v>
      </c>
      <c r="U39" s="95">
        <f t="shared" si="1"/>
        <v>17</v>
      </c>
      <c r="V39" s="67">
        <f t="shared" si="3"/>
        <v>0</v>
      </c>
      <c r="W39" s="67" t="str">
        <f>IF(V39&gt;(MEDIAN(Scoring!V:V)+_xlfn.STDEV.P(Scoring!V:V)),"YES","")</f>
        <v/>
      </c>
      <c r="X39" s="67" t="str">
        <f>IF($W39="YES",VLOOKUP($A39,'Editors Rescore'!$A$2:$M$63,13,FALSE),"")</f>
        <v/>
      </c>
      <c r="Y39" s="81">
        <f t="shared" si="2"/>
        <v>17</v>
      </c>
    </row>
    <row r="40" spans="1:25" ht="32.15" customHeight="1" x14ac:dyDescent="0.3">
      <c r="A40" s="122" t="s">
        <v>717</v>
      </c>
      <c r="B40" s="115" t="s">
        <v>718</v>
      </c>
      <c r="C40" s="115" t="s">
        <v>502</v>
      </c>
      <c r="D40" s="76" t="s">
        <v>489</v>
      </c>
      <c r="E40" s="4" t="s">
        <v>490</v>
      </c>
      <c r="F40" s="4">
        <v>31694979</v>
      </c>
      <c r="G40" s="76" t="s">
        <v>611</v>
      </c>
      <c r="H40" s="83" t="s">
        <v>613</v>
      </c>
      <c r="I40" s="76" t="s">
        <v>612</v>
      </c>
      <c r="J40" s="79"/>
      <c r="K40" s="79"/>
      <c r="L40" s="85">
        <f>(4+1+1)</f>
        <v>6</v>
      </c>
      <c r="M40" s="76">
        <v>6</v>
      </c>
      <c r="N40" s="85">
        <f>(2+1+0)</f>
        <v>3</v>
      </c>
      <c r="O40" s="76">
        <v>3</v>
      </c>
      <c r="P40" s="85">
        <f>(2+2+1)</f>
        <v>5</v>
      </c>
      <c r="Q40" s="76">
        <v>5</v>
      </c>
      <c r="R40" s="85">
        <f>(1+1+0+1)</f>
        <v>3</v>
      </c>
      <c r="S40" s="76">
        <v>3</v>
      </c>
      <c r="T40" s="92">
        <f t="shared" si="0"/>
        <v>17</v>
      </c>
      <c r="U40" s="95">
        <f t="shared" si="1"/>
        <v>17</v>
      </c>
      <c r="V40" s="67">
        <f t="shared" si="3"/>
        <v>0</v>
      </c>
      <c r="W40" s="67" t="str">
        <f>IF(V40&gt;(MEDIAN(Scoring!V:V)+_xlfn.STDEV.P(Scoring!V:V)),"YES","")</f>
        <v/>
      </c>
      <c r="X40" s="67" t="str">
        <f>IF($W40="YES",VLOOKUP($A40,'Editors Rescore'!$A$2:$M$63,13,FALSE),"")</f>
        <v/>
      </c>
      <c r="Y40" s="81">
        <f t="shared" si="2"/>
        <v>17</v>
      </c>
    </row>
    <row r="41" spans="1:25" s="7" customFormat="1" ht="32.15" customHeight="1" x14ac:dyDescent="0.3">
      <c r="A41" s="132" t="s">
        <v>743</v>
      </c>
      <c r="B41" s="150" t="s">
        <v>744</v>
      </c>
      <c r="C41" s="113" t="s">
        <v>359</v>
      </c>
      <c r="D41" s="97" t="s">
        <v>17</v>
      </c>
      <c r="E41" s="93" t="s">
        <v>18</v>
      </c>
      <c r="F41" s="96">
        <v>31024977</v>
      </c>
      <c r="G41" s="93" t="s">
        <v>611</v>
      </c>
      <c r="H41" s="92" t="s">
        <v>615</v>
      </c>
      <c r="I41" s="93" t="s">
        <v>614</v>
      </c>
      <c r="J41" s="94"/>
      <c r="K41" s="94"/>
      <c r="L41" s="92">
        <v>4</v>
      </c>
      <c r="M41" s="93">
        <v>4</v>
      </c>
      <c r="N41" s="92">
        <v>4</v>
      </c>
      <c r="O41" s="93">
        <v>4</v>
      </c>
      <c r="P41" s="92">
        <v>5</v>
      </c>
      <c r="Q41" s="93">
        <v>4</v>
      </c>
      <c r="R41" s="92">
        <v>5</v>
      </c>
      <c r="S41" s="93">
        <v>4</v>
      </c>
      <c r="T41" s="92">
        <f t="shared" si="0"/>
        <v>18</v>
      </c>
      <c r="U41" s="95">
        <f t="shared" si="1"/>
        <v>16</v>
      </c>
      <c r="V41" s="67">
        <f t="shared" si="3"/>
        <v>2</v>
      </c>
      <c r="W41" s="67" t="str">
        <f>IF(V41&gt;(MEDIAN(Scoring!V:V)+_xlfn.STDEV.P(Scoring!V:V)),"YES","")</f>
        <v/>
      </c>
      <c r="X41" s="67" t="str">
        <f>IF($W41="YES",VLOOKUP($A41,'Editors Rescore'!$A$2:$M$63,13,FALSE),"")</f>
        <v/>
      </c>
      <c r="Y41" s="81">
        <f t="shared" si="2"/>
        <v>17</v>
      </c>
    </row>
    <row r="42" spans="1:25" s="7" customFormat="1" ht="32.15" customHeight="1" x14ac:dyDescent="0.3">
      <c r="A42" s="125" t="s">
        <v>267</v>
      </c>
      <c r="B42" s="121" t="s">
        <v>750</v>
      </c>
      <c r="C42" s="121" t="s">
        <v>350</v>
      </c>
      <c r="D42" s="86" t="s">
        <v>17</v>
      </c>
      <c r="E42" s="67" t="s">
        <v>19</v>
      </c>
      <c r="F42" s="67">
        <v>30561501</v>
      </c>
      <c r="G42" s="86" t="s">
        <v>605</v>
      </c>
      <c r="H42" s="77" t="s">
        <v>318</v>
      </c>
      <c r="I42" s="76" t="s">
        <v>626</v>
      </c>
      <c r="J42" s="77">
        <v>5</v>
      </c>
      <c r="K42" s="76">
        <v>5</v>
      </c>
      <c r="L42" s="77">
        <v>4</v>
      </c>
      <c r="M42" s="76">
        <v>5</v>
      </c>
      <c r="N42" s="79"/>
      <c r="O42" s="79"/>
      <c r="P42" s="77">
        <v>4</v>
      </c>
      <c r="Q42" s="76">
        <v>5</v>
      </c>
      <c r="R42" s="77">
        <v>3</v>
      </c>
      <c r="S42" s="76">
        <v>5</v>
      </c>
      <c r="T42" s="92">
        <f t="shared" si="0"/>
        <v>16</v>
      </c>
      <c r="U42" s="95">
        <f t="shared" si="1"/>
        <v>20</v>
      </c>
      <c r="V42" s="67">
        <f t="shared" si="3"/>
        <v>4</v>
      </c>
      <c r="W42" s="67" t="str">
        <f>IF(V42&gt;(MEDIAN(Scoring!V:V)+_xlfn.STDEV.P(Scoring!V:V)),"YES","")</f>
        <v>YES</v>
      </c>
      <c r="X42" s="67">
        <f>IF($W42="YES",VLOOKUP($A42,'Editors Rescore'!$A$2:$M$63,13,FALSE),"")</f>
        <v>15</v>
      </c>
      <c r="Y42" s="81">
        <f t="shared" si="2"/>
        <v>17</v>
      </c>
    </row>
    <row r="43" spans="1:25" s="7" customFormat="1" ht="32.15" customHeight="1" x14ac:dyDescent="0.3">
      <c r="A43" s="114" t="s">
        <v>245</v>
      </c>
      <c r="B43" s="134" t="s">
        <v>786</v>
      </c>
      <c r="C43" s="113" t="s">
        <v>225</v>
      </c>
      <c r="D43" s="97" t="s">
        <v>17</v>
      </c>
      <c r="E43" s="93" t="s">
        <v>18</v>
      </c>
      <c r="F43" s="96">
        <v>31330028</v>
      </c>
      <c r="G43" s="93" t="s">
        <v>616</v>
      </c>
      <c r="H43" s="92" t="s">
        <v>604</v>
      </c>
      <c r="I43" s="93" t="s">
        <v>465</v>
      </c>
      <c r="J43" s="94"/>
      <c r="K43" s="94"/>
      <c r="L43" s="92">
        <v>4</v>
      </c>
      <c r="M43" s="93">
        <v>4</v>
      </c>
      <c r="N43" s="92">
        <v>3</v>
      </c>
      <c r="O43" s="93">
        <v>3</v>
      </c>
      <c r="P43" s="92">
        <v>5</v>
      </c>
      <c r="Q43" s="93">
        <v>5</v>
      </c>
      <c r="R43" s="92">
        <v>5</v>
      </c>
      <c r="S43" s="93">
        <v>5</v>
      </c>
      <c r="T43" s="92">
        <f t="shared" si="0"/>
        <v>17</v>
      </c>
      <c r="U43" s="95">
        <f t="shared" si="1"/>
        <v>17</v>
      </c>
      <c r="V43" s="67">
        <f t="shared" si="3"/>
        <v>0</v>
      </c>
      <c r="W43" s="67" t="str">
        <f>IF(V43&gt;(MEDIAN(Scoring!V:V)+_xlfn.STDEV.P(Scoring!V:V)),"YES","")</f>
        <v/>
      </c>
      <c r="X43" s="67" t="str">
        <f>IF($W43="YES",VLOOKUP($A43,'Editors Rescore'!$A$2:$M$63,13,FALSE),"")</f>
        <v/>
      </c>
      <c r="Y43" s="81">
        <f t="shared" si="2"/>
        <v>17</v>
      </c>
    </row>
    <row r="44" spans="1:25" s="7" customFormat="1" ht="32.15" customHeight="1" x14ac:dyDescent="0.3">
      <c r="A44" s="122" t="s">
        <v>817</v>
      </c>
      <c r="B44" s="115" t="s">
        <v>816</v>
      </c>
      <c r="C44" s="115" t="s">
        <v>360</v>
      </c>
      <c r="D44" s="76" t="s">
        <v>17</v>
      </c>
      <c r="E44" s="4" t="s">
        <v>19</v>
      </c>
      <c r="F44" s="4">
        <v>31090826</v>
      </c>
      <c r="G44" s="4" t="s">
        <v>611</v>
      </c>
      <c r="H44" s="9" t="s">
        <v>615</v>
      </c>
      <c r="I44" s="4" t="s">
        <v>614</v>
      </c>
      <c r="J44" s="9">
        <v>5</v>
      </c>
      <c r="K44" s="4">
        <v>5</v>
      </c>
      <c r="L44" s="9">
        <v>5</v>
      </c>
      <c r="M44" s="4">
        <v>5</v>
      </c>
      <c r="N44" s="11"/>
      <c r="O44" s="11"/>
      <c r="P44" s="9">
        <v>5</v>
      </c>
      <c r="Q44" s="4">
        <v>3</v>
      </c>
      <c r="R44" s="9">
        <v>3</v>
      </c>
      <c r="S44" s="4">
        <v>3</v>
      </c>
      <c r="T44" s="92">
        <f t="shared" si="0"/>
        <v>18</v>
      </c>
      <c r="U44" s="95">
        <f t="shared" si="1"/>
        <v>16</v>
      </c>
      <c r="V44" s="67">
        <f t="shared" si="3"/>
        <v>2</v>
      </c>
      <c r="W44" s="67" t="str">
        <f>IF(V44&gt;(MEDIAN(Scoring!V:V)+_xlfn.STDEV.P(Scoring!V:V)),"YES","")</f>
        <v/>
      </c>
      <c r="X44" s="67" t="str">
        <f>IF($W44="YES",VLOOKUP($A44,'Editors Rescore'!$A$2:$M$63,13,FALSE),"")</f>
        <v/>
      </c>
      <c r="Y44" s="81">
        <f t="shared" si="2"/>
        <v>17</v>
      </c>
    </row>
    <row r="45" spans="1:25" s="7" customFormat="1" ht="16" customHeight="1" x14ac:dyDescent="0.3">
      <c r="A45" s="123" t="s">
        <v>94</v>
      </c>
      <c r="B45" s="134" t="s">
        <v>821</v>
      </c>
      <c r="C45" s="113" t="s">
        <v>317</v>
      </c>
      <c r="D45" s="104" t="s">
        <v>17</v>
      </c>
      <c r="E45" s="103" t="s">
        <v>19</v>
      </c>
      <c r="F45" s="103">
        <v>30847441</v>
      </c>
      <c r="G45" s="104" t="s">
        <v>616</v>
      </c>
      <c r="H45" s="105" t="s">
        <v>465</v>
      </c>
      <c r="I45" s="104" t="s">
        <v>604</v>
      </c>
      <c r="J45" s="105">
        <v>5</v>
      </c>
      <c r="K45" s="104">
        <v>5</v>
      </c>
      <c r="L45" s="105">
        <v>5</v>
      </c>
      <c r="M45" s="104">
        <v>3</v>
      </c>
      <c r="N45" s="106"/>
      <c r="O45" s="106"/>
      <c r="P45" s="105">
        <v>5</v>
      </c>
      <c r="Q45" s="104">
        <v>5</v>
      </c>
      <c r="R45" s="105">
        <v>3</v>
      </c>
      <c r="S45" s="104">
        <v>3</v>
      </c>
      <c r="T45" s="92">
        <f t="shared" si="0"/>
        <v>18</v>
      </c>
      <c r="U45" s="95">
        <f t="shared" si="1"/>
        <v>16</v>
      </c>
      <c r="V45" s="67">
        <f t="shared" si="3"/>
        <v>2</v>
      </c>
      <c r="W45" s="67" t="str">
        <f>IF(V45&gt;(MEDIAN(Scoring!V:V)+_xlfn.STDEV.P(Scoring!V:V)),"YES","")</f>
        <v/>
      </c>
      <c r="X45" s="67" t="str">
        <f>IF($W45="YES",VLOOKUP($A45,'Editors Rescore'!$A$2:$M$63,13,FALSE),"")</f>
        <v/>
      </c>
      <c r="Y45" s="81">
        <f t="shared" si="2"/>
        <v>17</v>
      </c>
    </row>
    <row r="46" spans="1:25" s="7" customFormat="1" ht="32.15" customHeight="1" x14ac:dyDescent="0.3">
      <c r="A46" s="122" t="s">
        <v>541</v>
      </c>
      <c r="B46" s="115" t="s">
        <v>825</v>
      </c>
      <c r="C46" s="115" t="s">
        <v>542</v>
      </c>
      <c r="D46" s="76" t="s">
        <v>17</v>
      </c>
      <c r="E46" s="4" t="s">
        <v>18</v>
      </c>
      <c r="F46" s="4">
        <v>31709961</v>
      </c>
      <c r="G46" s="76" t="s">
        <v>605</v>
      </c>
      <c r="H46" s="77" t="s">
        <v>318</v>
      </c>
      <c r="I46" s="76" t="s">
        <v>626</v>
      </c>
      <c r="J46" s="79"/>
      <c r="K46" s="79"/>
      <c r="L46" s="77">
        <v>4</v>
      </c>
      <c r="M46" s="76">
        <v>4</v>
      </c>
      <c r="N46" s="77">
        <v>4</v>
      </c>
      <c r="O46" s="76">
        <v>4</v>
      </c>
      <c r="P46" s="77">
        <v>4</v>
      </c>
      <c r="Q46" s="76">
        <v>5</v>
      </c>
      <c r="R46" s="77">
        <v>4</v>
      </c>
      <c r="S46" s="76">
        <v>5</v>
      </c>
      <c r="T46" s="92">
        <f t="shared" si="0"/>
        <v>16</v>
      </c>
      <c r="U46" s="95">
        <f t="shared" si="1"/>
        <v>18</v>
      </c>
      <c r="V46" s="67">
        <f t="shared" si="3"/>
        <v>2</v>
      </c>
      <c r="W46" s="67" t="str">
        <f>IF(V46&gt;(MEDIAN(Scoring!V:V)+_xlfn.STDEV.P(Scoring!V:V)),"YES","")</f>
        <v/>
      </c>
      <c r="X46" s="67" t="str">
        <f>IF($W46="YES",VLOOKUP($A46,'Editors Rescore'!$A$2:$M$63,13,FALSE),"")</f>
        <v/>
      </c>
      <c r="Y46" s="81">
        <f t="shared" si="2"/>
        <v>17</v>
      </c>
    </row>
    <row r="47" spans="1:25" s="7" customFormat="1" ht="32.15" customHeight="1" x14ac:dyDescent="0.3">
      <c r="A47" s="122" t="s">
        <v>144</v>
      </c>
      <c r="B47" s="115" t="s">
        <v>500</v>
      </c>
      <c r="C47" s="115" t="s">
        <v>501</v>
      </c>
      <c r="D47" s="76" t="s">
        <v>492</v>
      </c>
      <c r="E47" s="4" t="s">
        <v>490</v>
      </c>
      <c r="F47" s="4">
        <v>31844551</v>
      </c>
      <c r="G47" s="4" t="s">
        <v>611</v>
      </c>
      <c r="H47" s="5" t="s">
        <v>613</v>
      </c>
      <c r="I47" s="4" t="s">
        <v>612</v>
      </c>
      <c r="J47" s="11"/>
      <c r="K47" s="11"/>
      <c r="L47" s="6">
        <f>(3+1+0)</f>
        <v>4</v>
      </c>
      <c r="M47" s="4">
        <v>4</v>
      </c>
      <c r="N47" s="6">
        <f>(2+0+1)</f>
        <v>3</v>
      </c>
      <c r="O47" s="4">
        <v>3</v>
      </c>
      <c r="P47" s="6">
        <f>(2+2+1)</f>
        <v>5</v>
      </c>
      <c r="Q47" s="4">
        <v>5</v>
      </c>
      <c r="R47" s="6">
        <f>(1+2+1+1)</f>
        <v>5</v>
      </c>
      <c r="S47" s="4">
        <v>5</v>
      </c>
      <c r="T47" s="92">
        <f t="shared" si="0"/>
        <v>17</v>
      </c>
      <c r="U47" s="95">
        <f t="shared" si="1"/>
        <v>17</v>
      </c>
      <c r="V47" s="67">
        <f t="shared" si="3"/>
        <v>0</v>
      </c>
      <c r="W47" s="67" t="str">
        <f>IF(V47&gt;(MEDIAN(Scoring!V:V)+_xlfn.STDEV.P(Scoring!V:V)),"YES","")</f>
        <v/>
      </c>
      <c r="X47" s="67" t="str">
        <f>IF($W47="YES",VLOOKUP($A47,'Editors Rescore'!$A$2:$M$63,13,FALSE),"")</f>
        <v/>
      </c>
      <c r="Y47" s="81">
        <f t="shared" si="2"/>
        <v>17</v>
      </c>
    </row>
    <row r="48" spans="1:25" s="7" customFormat="1" ht="16" customHeight="1" x14ac:dyDescent="0.3">
      <c r="A48" s="114" t="s">
        <v>167</v>
      </c>
      <c r="B48" s="137" t="s">
        <v>856</v>
      </c>
      <c r="C48" s="113" t="s">
        <v>36</v>
      </c>
      <c r="D48" s="97" t="s">
        <v>25</v>
      </c>
      <c r="E48" s="93" t="s">
        <v>18</v>
      </c>
      <c r="F48" s="96">
        <v>31040028</v>
      </c>
      <c r="G48" s="93" t="s">
        <v>619</v>
      </c>
      <c r="H48" s="92" t="s">
        <v>623</v>
      </c>
      <c r="I48" s="93" t="s">
        <v>622</v>
      </c>
      <c r="J48" s="94"/>
      <c r="K48" s="94"/>
      <c r="L48" s="92">
        <v>4</v>
      </c>
      <c r="M48" s="93">
        <v>5</v>
      </c>
      <c r="N48" s="92">
        <v>2</v>
      </c>
      <c r="O48" s="93">
        <v>4</v>
      </c>
      <c r="P48" s="92">
        <v>5</v>
      </c>
      <c r="Q48" s="93">
        <v>5</v>
      </c>
      <c r="R48" s="92">
        <v>5</v>
      </c>
      <c r="S48" s="93">
        <v>4</v>
      </c>
      <c r="T48" s="92">
        <f t="shared" si="0"/>
        <v>16</v>
      </c>
      <c r="U48" s="95">
        <f t="shared" si="1"/>
        <v>18</v>
      </c>
      <c r="V48" s="67">
        <f t="shared" si="3"/>
        <v>2</v>
      </c>
      <c r="W48" s="67" t="str">
        <f>IF(V48&gt;(MEDIAN(Scoring!V:V)+_xlfn.STDEV.P(Scoring!V:V)),"YES","")</f>
        <v/>
      </c>
      <c r="X48" s="67" t="str">
        <f>IF($W48="YES",VLOOKUP($A48,'Editors Rescore'!$A$2:$M$63,13,FALSE),"")</f>
        <v/>
      </c>
      <c r="Y48" s="81">
        <f t="shared" si="2"/>
        <v>17</v>
      </c>
    </row>
    <row r="49" spans="1:25" s="7" customFormat="1" ht="32.15" customHeight="1" x14ac:dyDescent="0.3">
      <c r="A49" s="114" t="s">
        <v>274</v>
      </c>
      <c r="B49" s="137" t="s">
        <v>867</v>
      </c>
      <c r="C49" s="113" t="s">
        <v>210</v>
      </c>
      <c r="D49" s="97" t="s">
        <v>17</v>
      </c>
      <c r="E49" s="93" t="s">
        <v>18</v>
      </c>
      <c r="F49" s="96">
        <v>31097281</v>
      </c>
      <c r="G49" s="93" t="s">
        <v>128</v>
      </c>
      <c r="H49" s="92" t="s">
        <v>610</v>
      </c>
      <c r="I49" s="93" t="s">
        <v>609</v>
      </c>
      <c r="J49" s="94"/>
      <c r="K49" s="94"/>
      <c r="L49" s="92">
        <v>4</v>
      </c>
      <c r="M49" s="93">
        <v>5</v>
      </c>
      <c r="N49" s="92">
        <v>4</v>
      </c>
      <c r="O49" s="93">
        <v>4</v>
      </c>
      <c r="P49" s="92">
        <v>5</v>
      </c>
      <c r="Q49" s="93">
        <v>5</v>
      </c>
      <c r="R49" s="92">
        <v>4</v>
      </c>
      <c r="S49" s="93">
        <v>3</v>
      </c>
      <c r="T49" s="92">
        <f t="shared" si="0"/>
        <v>17</v>
      </c>
      <c r="U49" s="95">
        <f t="shared" si="1"/>
        <v>17</v>
      </c>
      <c r="V49" s="67">
        <f t="shared" si="3"/>
        <v>0</v>
      </c>
      <c r="W49" s="67" t="str">
        <f>IF(V49&gt;(MEDIAN(Scoring!V:V)+_xlfn.STDEV.P(Scoring!V:V)),"YES","")</f>
        <v/>
      </c>
      <c r="X49" s="67" t="str">
        <f>IF($W49="YES",VLOOKUP($A49,'Editors Rescore'!$A$2:$M$63,13,FALSE),"")</f>
        <v/>
      </c>
      <c r="Y49" s="81">
        <f t="shared" si="2"/>
        <v>17</v>
      </c>
    </row>
    <row r="50" spans="1:25" s="7" customFormat="1" ht="32.15" customHeight="1" x14ac:dyDescent="0.3">
      <c r="A50" s="122" t="s">
        <v>60</v>
      </c>
      <c r="B50" s="112" t="s">
        <v>889</v>
      </c>
      <c r="C50" s="112" t="s">
        <v>49</v>
      </c>
      <c r="D50" s="4" t="s">
        <v>17</v>
      </c>
      <c r="E50" s="4" t="s">
        <v>19</v>
      </c>
      <c r="F50" s="4">
        <v>30076971</v>
      </c>
      <c r="G50" s="4" t="s">
        <v>611</v>
      </c>
      <c r="H50" s="9" t="s">
        <v>614</v>
      </c>
      <c r="I50" s="4" t="s">
        <v>615</v>
      </c>
      <c r="J50" s="9">
        <v>5</v>
      </c>
      <c r="K50" s="4">
        <v>5</v>
      </c>
      <c r="L50" s="9">
        <v>5</v>
      </c>
      <c r="M50" s="4">
        <v>5</v>
      </c>
      <c r="N50" s="11"/>
      <c r="O50" s="11"/>
      <c r="P50" s="9">
        <v>3</v>
      </c>
      <c r="Q50" s="4">
        <v>3</v>
      </c>
      <c r="R50" s="9">
        <v>4</v>
      </c>
      <c r="S50" s="4">
        <v>4</v>
      </c>
      <c r="T50" s="92">
        <f t="shared" si="0"/>
        <v>17</v>
      </c>
      <c r="U50" s="95">
        <f t="shared" si="1"/>
        <v>17</v>
      </c>
      <c r="V50" s="67">
        <f t="shared" si="3"/>
        <v>0</v>
      </c>
      <c r="W50" s="67" t="str">
        <f>IF(V50&gt;(MEDIAN(Scoring!V:V)+_xlfn.STDEV.P(Scoring!V:V)),"YES","")</f>
        <v/>
      </c>
      <c r="X50" s="67" t="str">
        <f>IF($W50="YES",VLOOKUP($A50,'Editors Rescore'!$A$2:$M$63,13,FALSE),"")</f>
        <v/>
      </c>
      <c r="Y50" s="81">
        <f t="shared" si="2"/>
        <v>17</v>
      </c>
    </row>
    <row r="51" spans="1:25" s="7" customFormat="1" ht="16" customHeight="1" x14ac:dyDescent="0.3">
      <c r="A51" s="122" t="s">
        <v>915</v>
      </c>
      <c r="B51" s="115" t="s">
        <v>916</v>
      </c>
      <c r="C51" s="115" t="s">
        <v>571</v>
      </c>
      <c r="D51" s="76" t="s">
        <v>17</v>
      </c>
      <c r="E51" s="4" t="s">
        <v>19</v>
      </c>
      <c r="F51" s="4">
        <v>31917139</v>
      </c>
      <c r="G51" s="76" t="s">
        <v>616</v>
      </c>
      <c r="H51" s="83" t="s">
        <v>604</v>
      </c>
      <c r="I51" s="76" t="s">
        <v>465</v>
      </c>
      <c r="J51" s="83">
        <v>5</v>
      </c>
      <c r="K51" s="76">
        <v>5</v>
      </c>
      <c r="L51" s="83">
        <v>2</v>
      </c>
      <c r="M51" s="76">
        <v>3</v>
      </c>
      <c r="N51" s="79"/>
      <c r="O51" s="79"/>
      <c r="P51" s="83">
        <v>5</v>
      </c>
      <c r="Q51" s="76">
        <v>5</v>
      </c>
      <c r="R51" s="83">
        <v>4</v>
      </c>
      <c r="S51" s="76">
        <v>5</v>
      </c>
      <c r="T51" s="92">
        <f t="shared" si="0"/>
        <v>16</v>
      </c>
      <c r="U51" s="95">
        <f t="shared" si="1"/>
        <v>18</v>
      </c>
      <c r="V51" s="67">
        <f t="shared" si="3"/>
        <v>2</v>
      </c>
      <c r="W51" s="67" t="str">
        <f>IF(V51&gt;(MEDIAN(Scoring!V:V)+_xlfn.STDEV.P(Scoring!V:V)),"YES","")</f>
        <v/>
      </c>
      <c r="X51" s="67" t="str">
        <f>IF($W51="YES",VLOOKUP($A51,'Editors Rescore'!$A$2:$M$63,13,FALSE),"")</f>
        <v/>
      </c>
      <c r="Y51" s="81">
        <f t="shared" si="2"/>
        <v>17</v>
      </c>
    </row>
    <row r="52" spans="1:25" s="7" customFormat="1" ht="16" customHeight="1" x14ac:dyDescent="0.3">
      <c r="A52" s="122" t="s">
        <v>444</v>
      </c>
      <c r="B52" s="115" t="s">
        <v>445</v>
      </c>
      <c r="C52" s="115" t="s">
        <v>917</v>
      </c>
      <c r="D52" s="76" t="s">
        <v>17</v>
      </c>
      <c r="E52" s="4" t="s">
        <v>18</v>
      </c>
      <c r="F52" s="4">
        <v>31145642</v>
      </c>
      <c r="G52" s="4" t="s">
        <v>619</v>
      </c>
      <c r="H52" s="83" t="s">
        <v>621</v>
      </c>
      <c r="I52" s="4" t="s">
        <v>620</v>
      </c>
      <c r="J52" s="11"/>
      <c r="K52" s="11"/>
      <c r="L52" s="85">
        <v>5</v>
      </c>
      <c r="M52" s="4">
        <v>5</v>
      </c>
      <c r="N52" s="85">
        <v>4</v>
      </c>
      <c r="O52" s="4">
        <v>3</v>
      </c>
      <c r="P52" s="85">
        <v>4</v>
      </c>
      <c r="Q52" s="4">
        <v>5</v>
      </c>
      <c r="R52" s="85">
        <v>4</v>
      </c>
      <c r="S52" s="4">
        <v>4</v>
      </c>
      <c r="T52" s="92">
        <f t="shared" si="0"/>
        <v>17</v>
      </c>
      <c r="U52" s="95">
        <f t="shared" si="1"/>
        <v>17</v>
      </c>
      <c r="V52" s="67">
        <f t="shared" si="3"/>
        <v>0</v>
      </c>
      <c r="W52" s="67" t="str">
        <f>IF(V52&gt;(MEDIAN(Scoring!V:V)+_xlfn.STDEV.P(Scoring!V:V)),"YES","")</f>
        <v/>
      </c>
      <c r="X52" s="67" t="str">
        <f>IF($W52="YES",VLOOKUP($A52,'Editors Rescore'!$A$2:$M$63,13,FALSE),"")</f>
        <v/>
      </c>
      <c r="Y52" s="81">
        <f t="shared" si="2"/>
        <v>17</v>
      </c>
    </row>
    <row r="53" spans="1:25" s="7" customFormat="1" ht="48" customHeight="1" x14ac:dyDescent="0.3">
      <c r="A53" s="144" t="s">
        <v>197</v>
      </c>
      <c r="B53" s="113" t="s">
        <v>158</v>
      </c>
      <c r="C53" s="113" t="s">
        <v>159</v>
      </c>
      <c r="D53" s="97" t="s">
        <v>17</v>
      </c>
      <c r="E53" s="93" t="s">
        <v>18</v>
      </c>
      <c r="F53" s="96">
        <v>31521372</v>
      </c>
      <c r="G53" s="93" t="s">
        <v>619</v>
      </c>
      <c r="H53" s="92" t="s">
        <v>622</v>
      </c>
      <c r="I53" s="93" t="s">
        <v>623</v>
      </c>
      <c r="J53" s="94"/>
      <c r="K53" s="94"/>
      <c r="L53" s="92">
        <v>3</v>
      </c>
      <c r="M53" s="93">
        <v>4</v>
      </c>
      <c r="N53" s="92">
        <v>4</v>
      </c>
      <c r="O53" s="93">
        <v>4</v>
      </c>
      <c r="P53" s="92">
        <v>5</v>
      </c>
      <c r="Q53" s="93">
        <v>5</v>
      </c>
      <c r="R53" s="92">
        <v>4</v>
      </c>
      <c r="S53" s="93">
        <v>5</v>
      </c>
      <c r="T53" s="92">
        <f t="shared" si="0"/>
        <v>16</v>
      </c>
      <c r="U53" s="95">
        <f t="shared" si="1"/>
        <v>18</v>
      </c>
      <c r="V53" s="67">
        <f t="shared" si="3"/>
        <v>2</v>
      </c>
      <c r="W53" s="67" t="str">
        <f>IF(V53&gt;(MEDIAN(Scoring!V:V)+_xlfn.STDEV.P(Scoring!V:V)),"YES","")</f>
        <v/>
      </c>
      <c r="X53" s="67" t="str">
        <f>IF($W53="YES",VLOOKUP($A53,'Editors Rescore'!$A$2:$M$63,13,FALSE),"")</f>
        <v/>
      </c>
      <c r="Y53" s="81">
        <f t="shared" si="2"/>
        <v>17</v>
      </c>
    </row>
    <row r="54" spans="1:25" s="7" customFormat="1" ht="32.15" customHeight="1" x14ac:dyDescent="0.3">
      <c r="A54" s="114" t="s">
        <v>163</v>
      </c>
      <c r="B54" s="130" t="s">
        <v>164</v>
      </c>
      <c r="C54" s="113" t="s">
        <v>138</v>
      </c>
      <c r="D54" s="97" t="s">
        <v>17</v>
      </c>
      <c r="E54" s="93" t="s">
        <v>18</v>
      </c>
      <c r="F54" s="96">
        <v>31406585</v>
      </c>
      <c r="G54" s="93" t="s">
        <v>619</v>
      </c>
      <c r="H54" s="92" t="s">
        <v>623</v>
      </c>
      <c r="I54" s="93" t="s">
        <v>622</v>
      </c>
      <c r="J54" s="94"/>
      <c r="K54" s="94"/>
      <c r="L54" s="92">
        <v>4</v>
      </c>
      <c r="M54" s="93">
        <v>4</v>
      </c>
      <c r="N54" s="92">
        <v>4</v>
      </c>
      <c r="O54" s="93">
        <v>4</v>
      </c>
      <c r="P54" s="92">
        <v>5</v>
      </c>
      <c r="Q54" s="93">
        <v>5</v>
      </c>
      <c r="R54" s="92">
        <v>3</v>
      </c>
      <c r="S54" s="93">
        <v>4</v>
      </c>
      <c r="T54" s="92">
        <f t="shared" si="0"/>
        <v>16</v>
      </c>
      <c r="U54" s="95">
        <f t="shared" si="1"/>
        <v>17</v>
      </c>
      <c r="V54" s="67">
        <f t="shared" si="3"/>
        <v>1</v>
      </c>
      <c r="W54" s="67" t="str">
        <f>IF(V54&gt;(MEDIAN(Scoring!V:V)+_xlfn.STDEV.P(Scoring!V:V)),"YES","")</f>
        <v/>
      </c>
      <c r="X54" s="67" t="str">
        <f>IF($W54="YES",VLOOKUP($A54,'Editors Rescore'!$A$2:$M$63,13,FALSE),"")</f>
        <v/>
      </c>
      <c r="Y54" s="81">
        <f t="shared" si="2"/>
        <v>16.5</v>
      </c>
    </row>
    <row r="55" spans="1:25" s="7" customFormat="1" ht="16" customHeight="1" x14ac:dyDescent="0.3">
      <c r="A55" s="122" t="s">
        <v>372</v>
      </c>
      <c r="B55" s="115" t="s">
        <v>373</v>
      </c>
      <c r="C55" s="120" t="s">
        <v>32</v>
      </c>
      <c r="D55" s="76" t="s">
        <v>17</v>
      </c>
      <c r="E55" s="4" t="s">
        <v>18</v>
      </c>
      <c r="F55" s="4">
        <v>31819289</v>
      </c>
      <c r="G55" s="4" t="s">
        <v>611</v>
      </c>
      <c r="H55" s="83" t="s">
        <v>615</v>
      </c>
      <c r="I55" s="4" t="s">
        <v>614</v>
      </c>
      <c r="J55" s="11"/>
      <c r="K55" s="11"/>
      <c r="L55" s="85">
        <v>3</v>
      </c>
      <c r="M55" s="4">
        <v>5</v>
      </c>
      <c r="N55" s="85">
        <v>3</v>
      </c>
      <c r="O55" s="4">
        <v>4</v>
      </c>
      <c r="P55" s="85">
        <v>5</v>
      </c>
      <c r="Q55" s="4">
        <v>4</v>
      </c>
      <c r="R55" s="85">
        <v>5</v>
      </c>
      <c r="S55" s="4">
        <v>4</v>
      </c>
      <c r="T55" s="92">
        <f t="shared" si="0"/>
        <v>16</v>
      </c>
      <c r="U55" s="95">
        <f t="shared" si="1"/>
        <v>17</v>
      </c>
      <c r="V55" s="67">
        <f t="shared" si="3"/>
        <v>1</v>
      </c>
      <c r="W55" s="67" t="str">
        <f>IF(V55&gt;(MEDIAN(Scoring!V:V)+_xlfn.STDEV.P(Scoring!V:V)),"YES","")</f>
        <v/>
      </c>
      <c r="X55" s="67" t="str">
        <f>IF($W55="YES",VLOOKUP($A55,'Editors Rescore'!$A$2:$M$63,13,FALSE),"")</f>
        <v/>
      </c>
      <c r="Y55" s="81">
        <f t="shared" si="2"/>
        <v>16.5</v>
      </c>
    </row>
    <row r="56" spans="1:25" s="7" customFormat="1" ht="16" customHeight="1" x14ac:dyDescent="0.3">
      <c r="A56" s="122" t="s">
        <v>493</v>
      </c>
      <c r="B56" s="112" t="s">
        <v>733</v>
      </c>
      <c r="C56" s="112" t="s">
        <v>494</v>
      </c>
      <c r="D56" s="4" t="s">
        <v>489</v>
      </c>
      <c r="E56" s="4" t="s">
        <v>490</v>
      </c>
      <c r="F56" s="4">
        <v>31703403</v>
      </c>
      <c r="G56" s="76" t="s">
        <v>611</v>
      </c>
      <c r="H56" s="83" t="s">
        <v>612</v>
      </c>
      <c r="I56" s="76" t="s">
        <v>613</v>
      </c>
      <c r="J56" s="79"/>
      <c r="K56" s="79"/>
      <c r="L56" s="85">
        <v>4</v>
      </c>
      <c r="M56" s="76">
        <f>(2+1+1)</f>
        <v>4</v>
      </c>
      <c r="N56" s="85">
        <v>4</v>
      </c>
      <c r="O56" s="76">
        <f>(2+1+1)</f>
        <v>4</v>
      </c>
      <c r="P56" s="85">
        <v>5</v>
      </c>
      <c r="Q56" s="76">
        <f>(2+2+1)</f>
        <v>5</v>
      </c>
      <c r="R56" s="85">
        <v>3</v>
      </c>
      <c r="S56" s="76">
        <f>(1+1+1+1)</f>
        <v>4</v>
      </c>
      <c r="T56" s="92">
        <f t="shared" si="0"/>
        <v>16</v>
      </c>
      <c r="U56" s="95">
        <f t="shared" si="1"/>
        <v>17</v>
      </c>
      <c r="V56" s="67">
        <f t="shared" si="3"/>
        <v>1</v>
      </c>
      <c r="W56" s="67" t="str">
        <f>IF(V56&gt;(MEDIAN(Scoring!V:V)+_xlfn.STDEV.P(Scoring!V:V)),"YES","")</f>
        <v/>
      </c>
      <c r="X56" s="67" t="str">
        <f>IF($W56="YES",VLOOKUP($A56,'Editors Rescore'!$A$2:$M$63,13,FALSE),"")</f>
        <v/>
      </c>
      <c r="Y56" s="81">
        <f t="shared" si="2"/>
        <v>16.5</v>
      </c>
    </row>
    <row r="57" spans="1:25" s="7" customFormat="1" ht="16" customHeight="1" x14ac:dyDescent="0.3">
      <c r="A57" s="122" t="s">
        <v>778</v>
      </c>
      <c r="B57" s="112" t="s">
        <v>777</v>
      </c>
      <c r="C57" s="112" t="s">
        <v>36</v>
      </c>
      <c r="D57" s="4" t="s">
        <v>25</v>
      </c>
      <c r="E57" s="4" t="s">
        <v>19</v>
      </c>
      <c r="F57" s="4">
        <v>31679834</v>
      </c>
      <c r="G57" s="76" t="s">
        <v>616</v>
      </c>
      <c r="H57" s="83" t="s">
        <v>465</v>
      </c>
      <c r="I57" s="76" t="s">
        <v>604</v>
      </c>
      <c r="J57" s="83">
        <v>5</v>
      </c>
      <c r="K57" s="76">
        <v>5</v>
      </c>
      <c r="L57" s="83">
        <v>3</v>
      </c>
      <c r="M57" s="76">
        <v>3</v>
      </c>
      <c r="N57" s="79"/>
      <c r="O57" s="79"/>
      <c r="P57" s="83">
        <v>5</v>
      </c>
      <c r="Q57" s="76">
        <v>5</v>
      </c>
      <c r="R57" s="83">
        <v>3</v>
      </c>
      <c r="S57" s="76">
        <v>4</v>
      </c>
      <c r="T57" s="92">
        <f t="shared" si="0"/>
        <v>16</v>
      </c>
      <c r="U57" s="95">
        <f t="shared" si="1"/>
        <v>17</v>
      </c>
      <c r="V57" s="67">
        <f t="shared" si="3"/>
        <v>1</v>
      </c>
      <c r="W57" s="67" t="str">
        <f>IF(V57&gt;(MEDIAN(Scoring!V:V)+_xlfn.STDEV.P(Scoring!V:V)),"YES","")</f>
        <v/>
      </c>
      <c r="X57" s="67" t="str">
        <f>IF($W57="YES",VLOOKUP($A57,'Editors Rescore'!$A$2:$M$63,13,FALSE),"")</f>
        <v/>
      </c>
      <c r="Y57" s="81">
        <f t="shared" si="2"/>
        <v>16.5</v>
      </c>
    </row>
    <row r="58" spans="1:25" s="7" customFormat="1" ht="32.15" customHeight="1" x14ac:dyDescent="0.3">
      <c r="A58" s="135" t="s">
        <v>237</v>
      </c>
      <c r="B58" s="147" t="s">
        <v>829</v>
      </c>
      <c r="C58" s="113" t="s">
        <v>311</v>
      </c>
      <c r="D58" s="97" t="s">
        <v>17</v>
      </c>
      <c r="E58" s="93" t="s">
        <v>18</v>
      </c>
      <c r="F58" s="96">
        <v>31106415</v>
      </c>
      <c r="G58" s="93" t="s">
        <v>616</v>
      </c>
      <c r="H58" s="92" t="s">
        <v>465</v>
      </c>
      <c r="I58" s="93" t="s">
        <v>604</v>
      </c>
      <c r="J58" s="94"/>
      <c r="K58" s="94"/>
      <c r="L58" s="92">
        <v>5</v>
      </c>
      <c r="M58" s="93">
        <v>5</v>
      </c>
      <c r="N58" s="92">
        <v>4</v>
      </c>
      <c r="O58" s="93">
        <v>4</v>
      </c>
      <c r="P58" s="92">
        <v>5</v>
      </c>
      <c r="Q58" s="93">
        <v>3</v>
      </c>
      <c r="R58" s="92">
        <v>4</v>
      </c>
      <c r="S58" s="93">
        <v>3</v>
      </c>
      <c r="T58" s="92">
        <f t="shared" si="0"/>
        <v>18</v>
      </c>
      <c r="U58" s="95">
        <f t="shared" si="1"/>
        <v>15</v>
      </c>
      <c r="V58" s="67">
        <f t="shared" si="3"/>
        <v>3</v>
      </c>
      <c r="W58" s="67" t="str">
        <f>IF(V58&gt;(MEDIAN(Scoring!V:V)+_xlfn.STDEV.P(Scoring!V:V)),"YES","")</f>
        <v/>
      </c>
      <c r="X58" s="67" t="str">
        <f>IF($W58="YES",VLOOKUP($A58,'Editors Rescore'!$A$2:$M$63,13,FALSE),"")</f>
        <v/>
      </c>
      <c r="Y58" s="81">
        <f t="shared" si="2"/>
        <v>16.5</v>
      </c>
    </row>
    <row r="59" spans="1:25" s="7" customFormat="1" ht="32.15" customHeight="1" x14ac:dyDescent="0.3">
      <c r="A59" s="114" t="s">
        <v>168</v>
      </c>
      <c r="B59" s="137" t="s">
        <v>860</v>
      </c>
      <c r="C59" s="113" t="s">
        <v>169</v>
      </c>
      <c r="D59" s="97" t="s">
        <v>17</v>
      </c>
      <c r="E59" s="93" t="s">
        <v>18</v>
      </c>
      <c r="F59" s="96">
        <v>30626282</v>
      </c>
      <c r="G59" s="93" t="s">
        <v>619</v>
      </c>
      <c r="H59" s="92" t="s">
        <v>623</v>
      </c>
      <c r="I59" s="93" t="s">
        <v>622</v>
      </c>
      <c r="J59" s="94"/>
      <c r="K59" s="94"/>
      <c r="L59" s="92">
        <v>3</v>
      </c>
      <c r="M59" s="93">
        <v>3</v>
      </c>
      <c r="N59" s="92">
        <v>4</v>
      </c>
      <c r="O59" s="93">
        <v>4</v>
      </c>
      <c r="P59" s="92">
        <v>5</v>
      </c>
      <c r="Q59" s="93">
        <v>5</v>
      </c>
      <c r="R59" s="92">
        <v>5</v>
      </c>
      <c r="S59" s="93">
        <v>4</v>
      </c>
      <c r="T59" s="92">
        <f t="shared" si="0"/>
        <v>17</v>
      </c>
      <c r="U59" s="95">
        <f t="shared" si="1"/>
        <v>16</v>
      </c>
      <c r="V59" s="67">
        <f t="shared" si="3"/>
        <v>1</v>
      </c>
      <c r="W59" s="67" t="str">
        <f>IF(V59&gt;(MEDIAN(Scoring!V:V)+_xlfn.STDEV.P(Scoring!V:V)),"YES","")</f>
        <v/>
      </c>
      <c r="X59" s="67" t="str">
        <f>IF($W59="YES",VLOOKUP($A59,'Editors Rescore'!$A$2:$M$63,13,FALSE),"")</f>
        <v/>
      </c>
      <c r="Y59" s="81">
        <f t="shared" si="2"/>
        <v>16.5</v>
      </c>
    </row>
    <row r="60" spans="1:25" s="7" customFormat="1" ht="16" customHeight="1" x14ac:dyDescent="0.3">
      <c r="A60" s="122" t="s">
        <v>453</v>
      </c>
      <c r="B60" s="115" t="s">
        <v>454</v>
      </c>
      <c r="C60" s="115" t="s">
        <v>269</v>
      </c>
      <c r="D60" s="76" t="s">
        <v>25</v>
      </c>
      <c r="E60" s="4" t="s">
        <v>18</v>
      </c>
      <c r="F60" s="8">
        <v>31432618</v>
      </c>
      <c r="G60" s="76" t="s">
        <v>619</v>
      </c>
      <c r="H60" s="83" t="s">
        <v>620</v>
      </c>
      <c r="I60" s="76" t="s">
        <v>621</v>
      </c>
      <c r="J60" s="79"/>
      <c r="K60" s="79"/>
      <c r="L60" s="85">
        <v>4</v>
      </c>
      <c r="M60" s="76">
        <v>4</v>
      </c>
      <c r="N60" s="85">
        <v>3</v>
      </c>
      <c r="O60" s="76">
        <v>4</v>
      </c>
      <c r="P60" s="85">
        <v>5</v>
      </c>
      <c r="Q60" s="76">
        <v>5</v>
      </c>
      <c r="R60" s="85">
        <v>5</v>
      </c>
      <c r="S60" s="76">
        <v>3</v>
      </c>
      <c r="T60" s="92">
        <f t="shared" si="0"/>
        <v>17</v>
      </c>
      <c r="U60" s="95">
        <f t="shared" si="1"/>
        <v>16</v>
      </c>
      <c r="V60" s="67">
        <f t="shared" si="3"/>
        <v>1</v>
      </c>
      <c r="W60" s="67" t="str">
        <f>IF(V60&gt;(MEDIAN(Scoring!V:V)+_xlfn.STDEV.P(Scoring!V:V)),"YES","")</f>
        <v/>
      </c>
      <c r="X60" s="67" t="str">
        <f>IF($W60="YES",VLOOKUP($A60,'Editors Rescore'!$A$2:$M$63,13,FALSE),"")</f>
        <v/>
      </c>
      <c r="Y60" s="81">
        <f t="shared" si="2"/>
        <v>16.5</v>
      </c>
    </row>
    <row r="61" spans="1:25" s="7" customFormat="1" ht="16" customHeight="1" x14ac:dyDescent="0.3">
      <c r="A61" s="122" t="s">
        <v>868</v>
      </c>
      <c r="B61" s="112" t="s">
        <v>408</v>
      </c>
      <c r="C61" s="112" t="s">
        <v>409</v>
      </c>
      <c r="D61" s="4" t="s">
        <v>17</v>
      </c>
      <c r="E61" s="4" t="s">
        <v>18</v>
      </c>
      <c r="F61" s="4">
        <v>31628424</v>
      </c>
      <c r="G61" s="4" t="s">
        <v>128</v>
      </c>
      <c r="H61" s="83" t="s">
        <v>608</v>
      </c>
      <c r="I61" s="4" t="s">
        <v>607</v>
      </c>
      <c r="J61" s="11"/>
      <c r="K61" s="11"/>
      <c r="L61" s="85">
        <f>2+1+1</f>
        <v>4</v>
      </c>
      <c r="M61" s="4">
        <v>4</v>
      </c>
      <c r="N61" s="85">
        <v>4</v>
      </c>
      <c r="O61" s="4">
        <v>4</v>
      </c>
      <c r="P61" s="85">
        <v>5</v>
      </c>
      <c r="Q61" s="4">
        <v>5</v>
      </c>
      <c r="R61" s="85">
        <v>2</v>
      </c>
      <c r="S61" s="4">
        <v>5</v>
      </c>
      <c r="T61" s="92">
        <f t="shared" si="0"/>
        <v>15</v>
      </c>
      <c r="U61" s="95">
        <f t="shared" si="1"/>
        <v>18</v>
      </c>
      <c r="V61" s="67">
        <f t="shared" si="3"/>
        <v>3</v>
      </c>
      <c r="W61" s="67" t="str">
        <f>IF(V61&gt;(MEDIAN(Scoring!V:V)+_xlfn.STDEV.P(Scoring!V:V)),"YES","")</f>
        <v/>
      </c>
      <c r="X61" s="67" t="str">
        <f>IF($W61="YES",VLOOKUP($A61,'Editors Rescore'!$A$2:$M$63,13,FALSE),"")</f>
        <v/>
      </c>
      <c r="Y61" s="81">
        <f t="shared" si="2"/>
        <v>16.5</v>
      </c>
    </row>
    <row r="62" spans="1:25" s="7" customFormat="1" ht="16" customHeight="1" x14ac:dyDescent="0.3">
      <c r="A62" s="114" t="s">
        <v>275</v>
      </c>
      <c r="B62" s="114" t="s">
        <v>276</v>
      </c>
      <c r="C62" s="114" t="s">
        <v>277</v>
      </c>
      <c r="D62" s="93" t="s">
        <v>17</v>
      </c>
      <c r="E62" s="93" t="s">
        <v>18</v>
      </c>
      <c r="F62" s="96">
        <v>30967145</v>
      </c>
      <c r="G62" s="97" t="s">
        <v>128</v>
      </c>
      <c r="H62" s="98" t="s">
        <v>610</v>
      </c>
      <c r="I62" s="97" t="s">
        <v>609</v>
      </c>
      <c r="J62" s="99"/>
      <c r="K62" s="99"/>
      <c r="L62" s="98">
        <v>5</v>
      </c>
      <c r="M62" s="97">
        <v>4</v>
      </c>
      <c r="N62" s="98">
        <v>4</v>
      </c>
      <c r="O62" s="97">
        <v>4</v>
      </c>
      <c r="P62" s="98">
        <v>5</v>
      </c>
      <c r="Q62" s="97">
        <v>5</v>
      </c>
      <c r="R62" s="98">
        <v>3</v>
      </c>
      <c r="S62" s="97">
        <v>3</v>
      </c>
      <c r="T62" s="92">
        <f t="shared" si="0"/>
        <v>17</v>
      </c>
      <c r="U62" s="95">
        <f t="shared" si="1"/>
        <v>16</v>
      </c>
      <c r="V62" s="67">
        <f t="shared" si="3"/>
        <v>1</v>
      </c>
      <c r="W62" s="67" t="str">
        <f>IF(V62&gt;(MEDIAN(Scoring!V:V)+_xlfn.STDEV.P(Scoring!V:V)),"YES","")</f>
        <v/>
      </c>
      <c r="X62" s="67" t="str">
        <f>IF($W62="YES",VLOOKUP($A62,'Editors Rescore'!$A$2:$M$63,13,FALSE),"")</f>
        <v/>
      </c>
      <c r="Y62" s="81">
        <f t="shared" si="2"/>
        <v>16.5</v>
      </c>
    </row>
    <row r="63" spans="1:25" s="7" customFormat="1" ht="16" customHeight="1" x14ac:dyDescent="0.3">
      <c r="A63" s="122" t="s">
        <v>559</v>
      </c>
      <c r="B63" s="120" t="s">
        <v>881</v>
      </c>
      <c r="C63" s="115" t="s">
        <v>33</v>
      </c>
      <c r="D63" s="76" t="s">
        <v>29</v>
      </c>
      <c r="E63" s="4" t="s">
        <v>19</v>
      </c>
      <c r="F63" s="8">
        <v>31642421</v>
      </c>
      <c r="G63" s="4" t="s">
        <v>619</v>
      </c>
      <c r="H63" s="5" t="s">
        <v>623</v>
      </c>
      <c r="I63" s="4" t="s">
        <v>622</v>
      </c>
      <c r="J63" s="6">
        <v>5</v>
      </c>
      <c r="K63" s="4">
        <v>5</v>
      </c>
      <c r="L63" s="6">
        <v>3</v>
      </c>
      <c r="M63" s="4">
        <v>2</v>
      </c>
      <c r="N63" s="11"/>
      <c r="O63" s="11"/>
      <c r="P63" s="6">
        <v>5</v>
      </c>
      <c r="Q63" s="4">
        <v>5</v>
      </c>
      <c r="R63" s="6">
        <v>4</v>
      </c>
      <c r="S63" s="4">
        <v>4</v>
      </c>
      <c r="T63" s="92">
        <f t="shared" si="0"/>
        <v>17</v>
      </c>
      <c r="U63" s="95">
        <f t="shared" si="1"/>
        <v>16</v>
      </c>
      <c r="V63" s="67">
        <f t="shared" si="3"/>
        <v>1</v>
      </c>
      <c r="W63" s="67" t="str">
        <f>IF(V63&gt;(MEDIAN(Scoring!V:V)+_xlfn.STDEV.P(Scoring!V:V)),"YES","")</f>
        <v/>
      </c>
      <c r="X63" s="67" t="str">
        <f>IF($W63="YES",VLOOKUP($A63,'Editors Rescore'!$A$2:$M$63,13,FALSE),"")</f>
        <v/>
      </c>
      <c r="Y63" s="81">
        <f t="shared" si="2"/>
        <v>16.5</v>
      </c>
    </row>
    <row r="64" spans="1:25" s="7" customFormat="1" ht="16" customHeight="1" x14ac:dyDescent="0.3">
      <c r="A64" s="114" t="s">
        <v>124</v>
      </c>
      <c r="B64" s="142" t="s">
        <v>900</v>
      </c>
      <c r="C64" s="113" t="s">
        <v>125</v>
      </c>
      <c r="D64" s="97" t="s">
        <v>25</v>
      </c>
      <c r="E64" s="93" t="s">
        <v>18</v>
      </c>
      <c r="F64" s="96">
        <v>30963185</v>
      </c>
      <c r="G64" s="97" t="s">
        <v>619</v>
      </c>
      <c r="H64" s="98" t="s">
        <v>620</v>
      </c>
      <c r="I64" s="97" t="s">
        <v>621</v>
      </c>
      <c r="J64" s="99"/>
      <c r="K64" s="99"/>
      <c r="L64" s="98">
        <v>3</v>
      </c>
      <c r="M64" s="97">
        <v>5</v>
      </c>
      <c r="N64" s="98">
        <v>3</v>
      </c>
      <c r="O64" s="97">
        <v>4</v>
      </c>
      <c r="P64" s="98">
        <v>5</v>
      </c>
      <c r="Q64" s="97">
        <v>5</v>
      </c>
      <c r="R64" s="98">
        <v>4</v>
      </c>
      <c r="S64" s="97">
        <v>4</v>
      </c>
      <c r="T64" s="92">
        <f t="shared" si="0"/>
        <v>15</v>
      </c>
      <c r="U64" s="95">
        <f t="shared" si="1"/>
        <v>18</v>
      </c>
      <c r="V64" s="67">
        <f t="shared" si="3"/>
        <v>3</v>
      </c>
      <c r="W64" s="67" t="str">
        <f>IF(V64&gt;(MEDIAN(Scoring!V:V)+_xlfn.STDEV.P(Scoring!V:V)),"YES","")</f>
        <v/>
      </c>
      <c r="X64" s="67" t="str">
        <f>IF($W64="YES",VLOOKUP($A64,'Editors Rescore'!$A$2:$M$63,13,FALSE),"")</f>
        <v/>
      </c>
      <c r="Y64" s="81">
        <f t="shared" si="2"/>
        <v>16.5</v>
      </c>
    </row>
    <row r="65" spans="1:25" s="7" customFormat="1" ht="16" customHeight="1" x14ac:dyDescent="0.3">
      <c r="A65" s="122" t="s">
        <v>523</v>
      </c>
      <c r="B65" s="115" t="s">
        <v>902</v>
      </c>
      <c r="C65" s="120" t="s">
        <v>524</v>
      </c>
      <c r="D65" s="76" t="s">
        <v>17</v>
      </c>
      <c r="E65" s="4" t="s">
        <v>18</v>
      </c>
      <c r="F65" s="4">
        <v>31490569</v>
      </c>
      <c r="G65" s="76" t="s">
        <v>611</v>
      </c>
      <c r="H65" s="83" t="s">
        <v>615</v>
      </c>
      <c r="I65" s="76" t="s">
        <v>614</v>
      </c>
      <c r="J65" s="79"/>
      <c r="K65" s="79"/>
      <c r="L65" s="85">
        <v>4</v>
      </c>
      <c r="M65" s="76">
        <v>4</v>
      </c>
      <c r="N65" s="85">
        <v>3</v>
      </c>
      <c r="O65" s="76">
        <v>4</v>
      </c>
      <c r="P65" s="85">
        <v>5</v>
      </c>
      <c r="Q65" s="76">
        <v>3</v>
      </c>
      <c r="R65" s="85">
        <v>5</v>
      </c>
      <c r="S65" s="76">
        <v>5</v>
      </c>
      <c r="T65" s="92">
        <f t="shared" si="0"/>
        <v>17</v>
      </c>
      <c r="U65" s="95">
        <f t="shared" si="1"/>
        <v>16</v>
      </c>
      <c r="V65" s="67">
        <f t="shared" si="3"/>
        <v>1</v>
      </c>
      <c r="W65" s="67" t="str">
        <f>IF(V65&gt;(MEDIAN(Scoring!V:V)+_xlfn.STDEV.P(Scoring!V:V)),"YES","")</f>
        <v/>
      </c>
      <c r="X65" s="67" t="str">
        <f>IF($W65="YES",VLOOKUP($A65,'Editors Rescore'!$A$2:$M$63,13,FALSE),"")</f>
        <v/>
      </c>
      <c r="Y65" s="81">
        <f t="shared" si="2"/>
        <v>16.5</v>
      </c>
    </row>
    <row r="66" spans="1:25" s="7" customFormat="1" ht="16" customHeight="1" x14ac:dyDescent="0.3">
      <c r="A66" s="114" t="s">
        <v>290</v>
      </c>
      <c r="B66" s="144" t="s">
        <v>914</v>
      </c>
      <c r="C66" s="114" t="s">
        <v>159</v>
      </c>
      <c r="D66" s="93" t="s">
        <v>17</v>
      </c>
      <c r="E66" s="93" t="s">
        <v>18</v>
      </c>
      <c r="F66" s="96">
        <v>31515111</v>
      </c>
      <c r="G66" s="97" t="s">
        <v>128</v>
      </c>
      <c r="H66" s="98" t="s">
        <v>607</v>
      </c>
      <c r="I66" s="97" t="s">
        <v>608</v>
      </c>
      <c r="J66" s="99"/>
      <c r="K66" s="99"/>
      <c r="L66" s="98">
        <v>4</v>
      </c>
      <c r="M66" s="97">
        <v>4</v>
      </c>
      <c r="N66" s="98">
        <v>4</v>
      </c>
      <c r="O66" s="97">
        <v>4</v>
      </c>
      <c r="P66" s="98">
        <v>5</v>
      </c>
      <c r="Q66" s="97">
        <v>5</v>
      </c>
      <c r="R66" s="98">
        <v>4</v>
      </c>
      <c r="S66" s="97">
        <v>3</v>
      </c>
      <c r="T66" s="92">
        <f t="shared" si="0"/>
        <v>17</v>
      </c>
      <c r="U66" s="95">
        <f t="shared" si="1"/>
        <v>16</v>
      </c>
      <c r="V66" s="67">
        <f t="shared" si="3"/>
        <v>1</v>
      </c>
      <c r="W66" s="67" t="str">
        <f>IF(V66&gt;(MEDIAN(Scoring!V:V)+_xlfn.STDEV.P(Scoring!V:V)),"YES","")</f>
        <v/>
      </c>
      <c r="X66" s="67" t="str">
        <f>IF($W66="YES",VLOOKUP($A66,'Editors Rescore'!$A$2:$M$63,13,FALSE),"")</f>
        <v/>
      </c>
      <c r="Y66" s="81">
        <f t="shared" si="2"/>
        <v>16.5</v>
      </c>
    </row>
    <row r="67" spans="1:25" s="7" customFormat="1" ht="16" customHeight="1" x14ac:dyDescent="0.3">
      <c r="A67" s="122" t="s">
        <v>446</v>
      </c>
      <c r="B67" s="115" t="s">
        <v>447</v>
      </c>
      <c r="C67" s="115" t="s">
        <v>154</v>
      </c>
      <c r="D67" s="76" t="s">
        <v>17</v>
      </c>
      <c r="E67" s="4" t="s">
        <v>18</v>
      </c>
      <c r="F67" s="4">
        <v>31802732</v>
      </c>
      <c r="G67" s="76" t="s">
        <v>619</v>
      </c>
      <c r="H67" s="83" t="s">
        <v>621</v>
      </c>
      <c r="I67" s="76" t="s">
        <v>620</v>
      </c>
      <c r="J67" s="79"/>
      <c r="K67" s="79"/>
      <c r="L67" s="85">
        <v>6</v>
      </c>
      <c r="M67" s="76">
        <v>5</v>
      </c>
      <c r="N67" s="85">
        <v>4</v>
      </c>
      <c r="O67" s="76">
        <v>3</v>
      </c>
      <c r="P67" s="85">
        <v>4</v>
      </c>
      <c r="Q67" s="76">
        <v>4</v>
      </c>
      <c r="R67" s="85">
        <v>3</v>
      </c>
      <c r="S67" s="76">
        <v>4</v>
      </c>
      <c r="T67" s="92">
        <f t="shared" ref="T67:T130" si="4">J67+L67+N67+P67+R67</f>
        <v>17</v>
      </c>
      <c r="U67" s="95">
        <f t="shared" ref="U67:U130" si="5">K67+M67+O67+Q67+S67</f>
        <v>16</v>
      </c>
      <c r="V67" s="67">
        <f t="shared" si="3"/>
        <v>1</v>
      </c>
      <c r="W67" s="67" t="str">
        <f>IF(V67&gt;(MEDIAN(Scoring!V:V)+_xlfn.STDEV.P(Scoring!V:V)),"YES","")</f>
        <v/>
      </c>
      <c r="X67" s="67" t="str">
        <f>IF($W67="YES",VLOOKUP($A67,'Editors Rescore'!$A$2:$M$63,13,FALSE),"")</f>
        <v/>
      </c>
      <c r="Y67" s="81">
        <f t="shared" ref="Y67:Y130" si="6">IF(W67="YES",AVERAGE(T67,U67,X67),AVERAGE(T67,U67))</f>
        <v>16.5</v>
      </c>
    </row>
    <row r="68" spans="1:25" s="7" customFormat="1" ht="32.15" customHeight="1" x14ac:dyDescent="0.3">
      <c r="A68" s="2" t="s">
        <v>194</v>
      </c>
      <c r="B68" s="121" t="s">
        <v>933</v>
      </c>
      <c r="C68" s="121" t="s">
        <v>195</v>
      </c>
      <c r="D68" s="82" t="s">
        <v>17</v>
      </c>
      <c r="E68" s="68" t="s">
        <v>18</v>
      </c>
      <c r="F68" s="69">
        <v>30865176</v>
      </c>
      <c r="G68" s="82" t="s">
        <v>611</v>
      </c>
      <c r="H68" s="98" t="s">
        <v>614</v>
      </c>
      <c r="I68" s="97" t="s">
        <v>615</v>
      </c>
      <c r="J68" s="99"/>
      <c r="K68" s="99"/>
      <c r="L68" s="149">
        <v>5</v>
      </c>
      <c r="M68" s="82">
        <v>3</v>
      </c>
      <c r="N68" s="149">
        <v>4</v>
      </c>
      <c r="O68" s="82">
        <v>4</v>
      </c>
      <c r="P68" s="149">
        <v>4</v>
      </c>
      <c r="Q68" s="82">
        <v>3</v>
      </c>
      <c r="R68" s="149">
        <v>5</v>
      </c>
      <c r="S68" s="97">
        <v>5</v>
      </c>
      <c r="T68" s="92">
        <f t="shared" si="4"/>
        <v>18</v>
      </c>
      <c r="U68" s="95">
        <f t="shared" si="5"/>
        <v>15</v>
      </c>
      <c r="V68" s="67">
        <f t="shared" ref="V68:V131" si="7">ABS(T68-U68)</f>
        <v>3</v>
      </c>
      <c r="W68" s="67" t="str">
        <f>IF(V68&gt;(MEDIAN(Scoring!V:V)+_xlfn.STDEV.P(Scoring!V:V)),"YES","")</f>
        <v/>
      </c>
      <c r="X68" s="67" t="str">
        <f>IF($W68="YES",VLOOKUP($A68,'Editors Rescore'!$A$2:$M$63,13,FALSE),"")</f>
        <v/>
      </c>
      <c r="Y68" s="81">
        <f t="shared" si="6"/>
        <v>16.5</v>
      </c>
    </row>
    <row r="69" spans="1:25" s="7" customFormat="1" ht="16" customHeight="1" x14ac:dyDescent="0.3">
      <c r="A69" s="122" t="s">
        <v>554</v>
      </c>
      <c r="B69" s="112" t="s">
        <v>555</v>
      </c>
      <c r="C69" s="112" t="s">
        <v>266</v>
      </c>
      <c r="D69" s="4" t="s">
        <v>17</v>
      </c>
      <c r="E69" s="4" t="s">
        <v>19</v>
      </c>
      <c r="F69" s="8">
        <v>30527914</v>
      </c>
      <c r="G69" s="76" t="s">
        <v>128</v>
      </c>
      <c r="H69" s="83" t="s">
        <v>610</v>
      </c>
      <c r="I69" s="76" t="s">
        <v>609</v>
      </c>
      <c r="J69" s="85">
        <v>5</v>
      </c>
      <c r="K69" s="76">
        <v>5</v>
      </c>
      <c r="L69" s="85">
        <v>5</v>
      </c>
      <c r="M69" s="76">
        <v>5</v>
      </c>
      <c r="N69" s="79"/>
      <c r="O69" s="79"/>
      <c r="P69" s="85">
        <v>5</v>
      </c>
      <c r="Q69" s="76">
        <v>5</v>
      </c>
      <c r="R69" s="85">
        <v>2</v>
      </c>
      <c r="S69" s="76">
        <v>1</v>
      </c>
      <c r="T69" s="92">
        <f t="shared" si="4"/>
        <v>17</v>
      </c>
      <c r="U69" s="95">
        <f t="shared" si="5"/>
        <v>16</v>
      </c>
      <c r="V69" s="67">
        <f t="shared" si="7"/>
        <v>1</v>
      </c>
      <c r="W69" s="67" t="str">
        <f>IF(V69&gt;(MEDIAN(Scoring!V:V)+_xlfn.STDEV.P(Scoring!V:V)),"YES","")</f>
        <v/>
      </c>
      <c r="X69" s="67" t="str">
        <f>IF($W69="YES",VLOOKUP($A69,'Editors Rescore'!$A$2:$M$63,13,FALSE),"")</f>
        <v/>
      </c>
      <c r="Y69" s="81">
        <f t="shared" si="6"/>
        <v>16.5</v>
      </c>
    </row>
    <row r="70" spans="1:25" s="7" customFormat="1" ht="16" customHeight="1" x14ac:dyDescent="0.3">
      <c r="A70" s="122" t="s">
        <v>585</v>
      </c>
      <c r="B70" s="112" t="s">
        <v>835</v>
      </c>
      <c r="C70" s="112" t="s">
        <v>317</v>
      </c>
      <c r="D70" s="4" t="s">
        <v>29</v>
      </c>
      <c r="E70" s="4" t="s">
        <v>19</v>
      </c>
      <c r="F70" s="4">
        <v>31875212</v>
      </c>
      <c r="G70" s="76" t="s">
        <v>605</v>
      </c>
      <c r="H70" s="77" t="s">
        <v>318</v>
      </c>
      <c r="I70" s="76" t="s">
        <v>626</v>
      </c>
      <c r="J70" s="77">
        <v>5</v>
      </c>
      <c r="K70" s="76">
        <v>5</v>
      </c>
      <c r="L70" s="77">
        <v>5</v>
      </c>
      <c r="M70" s="76">
        <v>2</v>
      </c>
      <c r="N70" s="79"/>
      <c r="O70" s="79"/>
      <c r="P70" s="77">
        <v>4</v>
      </c>
      <c r="Q70" s="76">
        <v>5</v>
      </c>
      <c r="R70" s="77">
        <v>5</v>
      </c>
      <c r="S70" s="76">
        <v>2</v>
      </c>
      <c r="T70" s="92">
        <f t="shared" si="4"/>
        <v>19</v>
      </c>
      <c r="U70" s="95">
        <f t="shared" si="5"/>
        <v>14</v>
      </c>
      <c r="V70" s="67">
        <f t="shared" si="7"/>
        <v>5</v>
      </c>
      <c r="W70" s="67" t="str">
        <f>IF(V70&gt;(MEDIAN(Scoring!V:V)+_xlfn.STDEV.P(Scoring!V:V)),"YES","")</f>
        <v>YES</v>
      </c>
      <c r="X70" s="67">
        <f>IF($W70="YES",VLOOKUP($A70,'Editors Rescore'!$A$2:$M$63,13,FALSE),"")</f>
        <v>16</v>
      </c>
      <c r="Y70" s="81">
        <f t="shared" si="6"/>
        <v>16.333333333333332</v>
      </c>
    </row>
    <row r="71" spans="1:25" s="7" customFormat="1" ht="16" customHeight="1" x14ac:dyDescent="0.3">
      <c r="A71" s="114" t="s">
        <v>55</v>
      </c>
      <c r="B71" s="113" t="s">
        <v>56</v>
      </c>
      <c r="C71" s="142" t="s">
        <v>175</v>
      </c>
      <c r="D71" s="97" t="s">
        <v>25</v>
      </c>
      <c r="E71" s="93" t="s">
        <v>18</v>
      </c>
      <c r="F71" s="96">
        <v>31455223</v>
      </c>
      <c r="G71" s="93" t="s">
        <v>20</v>
      </c>
      <c r="H71" s="98" t="s">
        <v>21</v>
      </c>
      <c r="I71" s="93" t="s">
        <v>606</v>
      </c>
      <c r="J71" s="94"/>
      <c r="K71" s="94"/>
      <c r="L71" s="98">
        <v>4</v>
      </c>
      <c r="M71" s="93">
        <v>3</v>
      </c>
      <c r="N71" s="98">
        <v>4</v>
      </c>
      <c r="O71" s="93">
        <v>4</v>
      </c>
      <c r="P71" s="98">
        <v>5</v>
      </c>
      <c r="Q71" s="93">
        <v>3</v>
      </c>
      <c r="R71" s="98">
        <v>5</v>
      </c>
      <c r="S71" s="93">
        <v>3</v>
      </c>
      <c r="T71" s="92">
        <f t="shared" si="4"/>
        <v>18</v>
      </c>
      <c r="U71" s="95">
        <f t="shared" si="5"/>
        <v>13</v>
      </c>
      <c r="V71" s="67">
        <f t="shared" si="7"/>
        <v>5</v>
      </c>
      <c r="W71" s="67" t="str">
        <f>IF(V71&gt;(MEDIAN(Scoring!V:V)+_xlfn.STDEV.P(Scoring!V:V)),"YES","")</f>
        <v>YES</v>
      </c>
      <c r="X71" s="67">
        <f>IF($W71="YES",VLOOKUP($A71,'Editors Rescore'!$A$2:$M$63,13,FALSE),"")</f>
        <v>18</v>
      </c>
      <c r="Y71" s="81">
        <f t="shared" si="6"/>
        <v>16.333333333333332</v>
      </c>
    </row>
    <row r="72" spans="1:25" s="7" customFormat="1" ht="16" customHeight="1" x14ac:dyDescent="0.3">
      <c r="A72" s="122" t="s">
        <v>583</v>
      </c>
      <c r="B72" s="115" t="s">
        <v>633</v>
      </c>
      <c r="C72" s="115" t="s">
        <v>584</v>
      </c>
      <c r="D72" s="76" t="s">
        <v>29</v>
      </c>
      <c r="E72" s="4" t="s">
        <v>19</v>
      </c>
      <c r="F72" s="4">
        <v>31632605</v>
      </c>
      <c r="G72" s="4" t="s">
        <v>611</v>
      </c>
      <c r="H72" s="5" t="s">
        <v>615</v>
      </c>
      <c r="I72" s="4" t="s">
        <v>614</v>
      </c>
      <c r="J72" s="6">
        <v>5</v>
      </c>
      <c r="K72" s="4">
        <v>5</v>
      </c>
      <c r="L72" s="6">
        <v>2</v>
      </c>
      <c r="M72" s="4">
        <v>2</v>
      </c>
      <c r="N72" s="11"/>
      <c r="O72" s="11"/>
      <c r="P72" s="6">
        <v>5</v>
      </c>
      <c r="Q72" s="4">
        <v>4</v>
      </c>
      <c r="R72" s="6">
        <v>5</v>
      </c>
      <c r="S72" s="4">
        <v>4</v>
      </c>
      <c r="T72" s="92">
        <f t="shared" si="4"/>
        <v>17</v>
      </c>
      <c r="U72" s="95">
        <f t="shared" si="5"/>
        <v>15</v>
      </c>
      <c r="V72" s="67">
        <f t="shared" si="7"/>
        <v>2</v>
      </c>
      <c r="W72" s="67" t="str">
        <f>IF(V72&gt;(MEDIAN(Scoring!V:V)+_xlfn.STDEV.P(Scoring!V:V)),"YES","")</f>
        <v/>
      </c>
      <c r="X72" s="67" t="str">
        <f>IF($W72="YES",VLOOKUP($A72,'Editors Rescore'!$A$2:$M$63,13,FALSE),"")</f>
        <v/>
      </c>
      <c r="Y72" s="81">
        <f t="shared" si="6"/>
        <v>16</v>
      </c>
    </row>
    <row r="73" spans="1:25" s="7" customFormat="1" ht="16" customHeight="1" x14ac:dyDescent="0.3">
      <c r="A73" s="114" t="s">
        <v>199</v>
      </c>
      <c r="B73" s="130" t="s">
        <v>706</v>
      </c>
      <c r="C73" s="113" t="s">
        <v>200</v>
      </c>
      <c r="D73" s="97" t="s">
        <v>17</v>
      </c>
      <c r="E73" s="93" t="s">
        <v>18</v>
      </c>
      <c r="F73" s="96">
        <v>30863642</v>
      </c>
      <c r="G73" s="97" t="s">
        <v>611</v>
      </c>
      <c r="H73" s="98" t="s">
        <v>613</v>
      </c>
      <c r="I73" s="97" t="s">
        <v>612</v>
      </c>
      <c r="J73" s="99"/>
      <c r="K73" s="99"/>
      <c r="L73" s="98">
        <v>4</v>
      </c>
      <c r="M73" s="97">
        <v>4</v>
      </c>
      <c r="N73" s="98">
        <v>3</v>
      </c>
      <c r="O73" s="97">
        <v>4</v>
      </c>
      <c r="P73" s="98">
        <v>5</v>
      </c>
      <c r="Q73" s="97">
        <v>5</v>
      </c>
      <c r="R73" s="98">
        <v>3</v>
      </c>
      <c r="S73" s="97">
        <v>4</v>
      </c>
      <c r="T73" s="92">
        <f t="shared" si="4"/>
        <v>15</v>
      </c>
      <c r="U73" s="95">
        <f t="shared" si="5"/>
        <v>17</v>
      </c>
      <c r="V73" s="67">
        <f t="shared" si="7"/>
        <v>2</v>
      </c>
      <c r="W73" s="67" t="str">
        <f>IF(V73&gt;(MEDIAN(Scoring!V:V)+_xlfn.STDEV.P(Scoring!V:V)),"YES","")</f>
        <v/>
      </c>
      <c r="X73" s="67" t="str">
        <f>IF($W73="YES",VLOOKUP($A73,'Editors Rescore'!$A$2:$M$63,13,FALSE),"")</f>
        <v/>
      </c>
      <c r="Y73" s="81">
        <f t="shared" si="6"/>
        <v>16</v>
      </c>
    </row>
    <row r="74" spans="1:25" s="7" customFormat="1" ht="32.15" customHeight="1" x14ac:dyDescent="0.3">
      <c r="A74" s="122" t="s">
        <v>535</v>
      </c>
      <c r="B74" s="112" t="s">
        <v>707</v>
      </c>
      <c r="C74" s="112" t="s">
        <v>536</v>
      </c>
      <c r="D74" s="4" t="s">
        <v>17</v>
      </c>
      <c r="E74" s="4" t="s">
        <v>18</v>
      </c>
      <c r="F74" s="4">
        <v>31675716</v>
      </c>
      <c r="G74" s="4" t="s">
        <v>605</v>
      </c>
      <c r="H74" s="77" t="s">
        <v>318</v>
      </c>
      <c r="I74" s="4" t="s">
        <v>626</v>
      </c>
      <c r="J74" s="11"/>
      <c r="K74" s="11"/>
      <c r="L74" s="77">
        <v>4</v>
      </c>
      <c r="M74" s="4">
        <v>4</v>
      </c>
      <c r="N74" s="77">
        <v>4</v>
      </c>
      <c r="O74" s="4">
        <v>4</v>
      </c>
      <c r="P74" s="77">
        <v>4</v>
      </c>
      <c r="Q74" s="4">
        <v>4</v>
      </c>
      <c r="R74" s="77">
        <v>4</v>
      </c>
      <c r="S74" s="4">
        <v>4</v>
      </c>
      <c r="T74" s="92">
        <f t="shared" si="4"/>
        <v>16</v>
      </c>
      <c r="U74" s="95">
        <f t="shared" si="5"/>
        <v>16</v>
      </c>
      <c r="V74" s="67">
        <f t="shared" si="7"/>
        <v>0</v>
      </c>
      <c r="W74" s="67" t="str">
        <f>IF(V74&gt;(MEDIAN(Scoring!V:V)+_xlfn.STDEV.P(Scoring!V:V)),"YES","")</f>
        <v/>
      </c>
      <c r="X74" s="67" t="str">
        <f>IF($W74="YES",VLOOKUP($A74,'Editors Rescore'!$A$2:$M$63,13,FALSE),"")</f>
        <v/>
      </c>
      <c r="Y74" s="81">
        <f t="shared" si="6"/>
        <v>16</v>
      </c>
    </row>
    <row r="75" spans="1:25" s="7" customFormat="1" ht="32.15" customHeight="1" x14ac:dyDescent="0.3">
      <c r="A75" s="122" t="s">
        <v>760</v>
      </c>
      <c r="B75" s="115" t="s">
        <v>761</v>
      </c>
      <c r="C75" s="115" t="s">
        <v>508</v>
      </c>
      <c r="D75" s="76" t="s">
        <v>489</v>
      </c>
      <c r="E75" s="4" t="s">
        <v>490</v>
      </c>
      <c r="F75" s="4">
        <v>31851976</v>
      </c>
      <c r="G75" s="4" t="s">
        <v>611</v>
      </c>
      <c r="H75" s="5" t="s">
        <v>613</v>
      </c>
      <c r="I75" s="4" t="s">
        <v>612</v>
      </c>
      <c r="J75" s="11"/>
      <c r="K75" s="11"/>
      <c r="L75" s="6">
        <f>(2+1+1)</f>
        <v>4</v>
      </c>
      <c r="M75" s="4">
        <v>4</v>
      </c>
      <c r="N75" s="6">
        <f>(2+1+1)</f>
        <v>4</v>
      </c>
      <c r="O75" s="4">
        <v>4</v>
      </c>
      <c r="P75" s="6">
        <f>(2+2+1)</f>
        <v>5</v>
      </c>
      <c r="Q75" s="4">
        <v>5</v>
      </c>
      <c r="R75" s="6">
        <f>(1+0+1+1)</f>
        <v>3</v>
      </c>
      <c r="S75" s="4">
        <v>3</v>
      </c>
      <c r="T75" s="92">
        <f t="shared" si="4"/>
        <v>16</v>
      </c>
      <c r="U75" s="95">
        <f t="shared" si="5"/>
        <v>16</v>
      </c>
      <c r="V75" s="67">
        <f t="shared" si="7"/>
        <v>0</v>
      </c>
      <c r="W75" s="67" t="str">
        <f>IF(V75&gt;(MEDIAN(Scoring!V:V)+_xlfn.STDEV.P(Scoring!V:V)),"YES","")</f>
        <v/>
      </c>
      <c r="X75" s="67" t="str">
        <f>IF($W75="YES",VLOOKUP($A75,'Editors Rescore'!$A$2:$M$63,13,FALSE),"")</f>
        <v/>
      </c>
      <c r="Y75" s="81">
        <f t="shared" si="6"/>
        <v>16</v>
      </c>
    </row>
    <row r="76" spans="1:25" s="7" customFormat="1" ht="32.15" customHeight="1" x14ac:dyDescent="0.3">
      <c r="A76" s="114" t="s">
        <v>145</v>
      </c>
      <c r="B76" s="113" t="s">
        <v>146</v>
      </c>
      <c r="C76" s="113" t="s">
        <v>147</v>
      </c>
      <c r="D76" s="97" t="s">
        <v>17</v>
      </c>
      <c r="E76" s="93" t="s">
        <v>18</v>
      </c>
      <c r="F76" s="96">
        <v>30703097</v>
      </c>
      <c r="G76" s="93" t="s">
        <v>619</v>
      </c>
      <c r="H76" s="98" t="s">
        <v>622</v>
      </c>
      <c r="I76" s="93" t="s">
        <v>623</v>
      </c>
      <c r="J76" s="94"/>
      <c r="K76" s="94"/>
      <c r="L76" s="98">
        <v>3</v>
      </c>
      <c r="M76" s="93">
        <v>4</v>
      </c>
      <c r="N76" s="98">
        <v>3</v>
      </c>
      <c r="O76" s="93">
        <v>4</v>
      </c>
      <c r="P76" s="98">
        <v>3</v>
      </c>
      <c r="Q76" s="93">
        <v>5</v>
      </c>
      <c r="R76" s="98">
        <v>4</v>
      </c>
      <c r="S76" s="93">
        <v>5</v>
      </c>
      <c r="T76" s="92">
        <f t="shared" si="4"/>
        <v>13</v>
      </c>
      <c r="U76" s="95">
        <f t="shared" si="5"/>
        <v>18</v>
      </c>
      <c r="V76" s="67">
        <f t="shared" si="7"/>
        <v>5</v>
      </c>
      <c r="W76" s="67" t="str">
        <f>IF(V76&gt;(MEDIAN(Scoring!V:V)+_xlfn.STDEV.P(Scoring!V:V)),"YES","")</f>
        <v>YES</v>
      </c>
      <c r="X76" s="67">
        <f>IF($W76="YES",VLOOKUP($A76,'Editors Rescore'!$A$2:$M$63,13,FALSE),"")</f>
        <v>17</v>
      </c>
      <c r="Y76" s="81">
        <f t="shared" si="6"/>
        <v>16</v>
      </c>
    </row>
    <row r="77" spans="1:25" s="7" customFormat="1" ht="32.15" customHeight="1" x14ac:dyDescent="0.3">
      <c r="A77" s="114" t="s">
        <v>273</v>
      </c>
      <c r="B77" s="134" t="s">
        <v>772</v>
      </c>
      <c r="C77" s="113" t="s">
        <v>26</v>
      </c>
      <c r="D77" s="97" t="s">
        <v>29</v>
      </c>
      <c r="E77" s="93" t="s">
        <v>18</v>
      </c>
      <c r="F77" s="96">
        <v>31046763</v>
      </c>
      <c r="G77" s="97" t="s">
        <v>128</v>
      </c>
      <c r="H77" s="98" t="s">
        <v>610</v>
      </c>
      <c r="I77" s="97" t="s">
        <v>609</v>
      </c>
      <c r="J77" s="99"/>
      <c r="K77" s="99"/>
      <c r="L77" s="98">
        <v>3</v>
      </c>
      <c r="M77" s="97">
        <v>3</v>
      </c>
      <c r="N77" s="98">
        <v>4</v>
      </c>
      <c r="O77" s="97">
        <v>4</v>
      </c>
      <c r="P77" s="98">
        <v>5</v>
      </c>
      <c r="Q77" s="97">
        <v>5</v>
      </c>
      <c r="R77" s="98">
        <v>5</v>
      </c>
      <c r="S77" s="97">
        <v>3</v>
      </c>
      <c r="T77" s="92">
        <f t="shared" si="4"/>
        <v>17</v>
      </c>
      <c r="U77" s="95">
        <f t="shared" si="5"/>
        <v>15</v>
      </c>
      <c r="V77" s="67">
        <f t="shared" si="7"/>
        <v>2</v>
      </c>
      <c r="W77" s="67" t="str">
        <f>IF(V77&gt;(MEDIAN(Scoring!V:V)+_xlfn.STDEV.P(Scoring!V:V)),"YES","")</f>
        <v/>
      </c>
      <c r="X77" s="67" t="str">
        <f>IF($W77="YES",VLOOKUP($A77,'Editors Rescore'!$A$2:$M$63,13,FALSE),"")</f>
        <v/>
      </c>
      <c r="Y77" s="81">
        <f t="shared" si="6"/>
        <v>16</v>
      </c>
    </row>
    <row r="78" spans="1:25" s="7" customFormat="1" ht="32.15" customHeight="1" x14ac:dyDescent="0.3">
      <c r="A78" s="114" t="s">
        <v>119</v>
      </c>
      <c r="B78" s="113" t="s">
        <v>120</v>
      </c>
      <c r="C78" s="113" t="s">
        <v>121</v>
      </c>
      <c r="D78" s="97" t="s">
        <v>25</v>
      </c>
      <c r="E78" s="93" t="s">
        <v>18</v>
      </c>
      <c r="F78" s="96">
        <v>31428273</v>
      </c>
      <c r="G78" s="97" t="s">
        <v>619</v>
      </c>
      <c r="H78" s="98" t="s">
        <v>620</v>
      </c>
      <c r="I78" s="97" t="s">
        <v>621</v>
      </c>
      <c r="J78" s="99"/>
      <c r="K78" s="99"/>
      <c r="L78" s="98">
        <v>4</v>
      </c>
      <c r="M78" s="97">
        <v>4</v>
      </c>
      <c r="N78" s="98">
        <v>3</v>
      </c>
      <c r="O78" s="97">
        <v>3</v>
      </c>
      <c r="P78" s="98">
        <v>5</v>
      </c>
      <c r="Q78" s="97">
        <v>5</v>
      </c>
      <c r="R78" s="98">
        <v>4</v>
      </c>
      <c r="S78" s="97">
        <v>4</v>
      </c>
      <c r="T78" s="92">
        <f t="shared" si="4"/>
        <v>16</v>
      </c>
      <c r="U78" s="95">
        <f t="shared" si="5"/>
        <v>16</v>
      </c>
      <c r="V78" s="67">
        <f t="shared" si="7"/>
        <v>0</v>
      </c>
      <c r="W78" s="67" t="str">
        <f>IF(V78&gt;(MEDIAN(Scoring!V:V)+_xlfn.STDEV.P(Scoring!V:V)),"YES","")</f>
        <v/>
      </c>
      <c r="X78" s="67" t="str">
        <f>IF($W78="YES",VLOOKUP($A78,'Editors Rescore'!$A$2:$M$63,13,FALSE),"")</f>
        <v/>
      </c>
      <c r="Y78" s="81">
        <f t="shared" si="6"/>
        <v>16</v>
      </c>
    </row>
    <row r="79" spans="1:25" s="7" customFormat="1" ht="32.15" customHeight="1" x14ac:dyDescent="0.3">
      <c r="A79" s="114" t="s">
        <v>234</v>
      </c>
      <c r="B79" s="134" t="s">
        <v>815</v>
      </c>
      <c r="C79" s="113" t="s">
        <v>154</v>
      </c>
      <c r="D79" s="97" t="s">
        <v>17</v>
      </c>
      <c r="E79" s="93" t="s">
        <v>18</v>
      </c>
      <c r="F79" s="96">
        <v>30398141</v>
      </c>
      <c r="G79" s="100" t="s">
        <v>616</v>
      </c>
      <c r="H79" s="101" t="s">
        <v>465</v>
      </c>
      <c r="I79" s="100" t="s">
        <v>604</v>
      </c>
      <c r="J79" s="102"/>
      <c r="K79" s="102"/>
      <c r="L79" s="101">
        <v>3</v>
      </c>
      <c r="M79" s="100">
        <v>4</v>
      </c>
      <c r="N79" s="101">
        <v>3</v>
      </c>
      <c r="O79" s="100">
        <v>3</v>
      </c>
      <c r="P79" s="101">
        <v>5</v>
      </c>
      <c r="Q79" s="100">
        <v>5</v>
      </c>
      <c r="R79" s="101">
        <v>4</v>
      </c>
      <c r="S79" s="100">
        <v>5</v>
      </c>
      <c r="T79" s="92">
        <f t="shared" si="4"/>
        <v>15</v>
      </c>
      <c r="U79" s="95">
        <f t="shared" si="5"/>
        <v>17</v>
      </c>
      <c r="V79" s="67">
        <f t="shared" si="7"/>
        <v>2</v>
      </c>
      <c r="W79" s="67" t="str">
        <f>IF(V79&gt;(MEDIAN(Scoring!V:V)+_xlfn.STDEV.P(Scoring!V:V)),"YES","")</f>
        <v/>
      </c>
      <c r="X79" s="67" t="str">
        <f>IF($W79="YES",VLOOKUP($A79,'Editors Rescore'!$A$2:$M$63,13,FALSE),"")</f>
        <v/>
      </c>
      <c r="Y79" s="81">
        <f t="shared" si="6"/>
        <v>16</v>
      </c>
    </row>
    <row r="80" spans="1:25" s="7" customFormat="1" ht="32.15" customHeight="1" x14ac:dyDescent="0.3">
      <c r="A80" s="2" t="s">
        <v>337</v>
      </c>
      <c r="B80" s="121" t="s">
        <v>333</v>
      </c>
      <c r="C80" s="121" t="s">
        <v>316</v>
      </c>
      <c r="D80" s="82" t="s">
        <v>17</v>
      </c>
      <c r="E80" s="68" t="s">
        <v>18</v>
      </c>
      <c r="F80" s="69">
        <v>30911474</v>
      </c>
      <c r="G80" s="75" t="s">
        <v>605</v>
      </c>
      <c r="H80" s="110" t="s">
        <v>318</v>
      </c>
      <c r="I80" s="75" t="s">
        <v>626</v>
      </c>
      <c r="J80" s="160"/>
      <c r="K80" s="160"/>
      <c r="L80" s="110">
        <v>4</v>
      </c>
      <c r="M80" s="75">
        <v>3</v>
      </c>
      <c r="N80" s="110">
        <v>4</v>
      </c>
      <c r="O80" s="75">
        <v>4</v>
      </c>
      <c r="P80" s="110">
        <v>4</v>
      </c>
      <c r="Q80" s="75">
        <v>4</v>
      </c>
      <c r="R80" s="110">
        <v>4</v>
      </c>
      <c r="S80" s="75">
        <v>5</v>
      </c>
      <c r="T80" s="92">
        <f t="shared" si="4"/>
        <v>16</v>
      </c>
      <c r="U80" s="95">
        <f t="shared" si="5"/>
        <v>16</v>
      </c>
      <c r="V80" s="67">
        <f t="shared" si="7"/>
        <v>0</v>
      </c>
      <c r="W80" s="67" t="str">
        <f>IF(V80&gt;(MEDIAN(Scoring!V:V)+_xlfn.STDEV.P(Scoring!V:V)),"YES","")</f>
        <v/>
      </c>
      <c r="X80" s="67" t="str">
        <f>IF($W80="YES",VLOOKUP($A80,'Editors Rescore'!$A$2:$M$63,13,FALSE),"")</f>
        <v/>
      </c>
      <c r="Y80" s="81">
        <f t="shared" si="6"/>
        <v>16</v>
      </c>
    </row>
    <row r="81" spans="1:25" s="7" customFormat="1" ht="16" customHeight="1" x14ac:dyDescent="0.3">
      <c r="A81" s="122" t="s">
        <v>392</v>
      </c>
      <c r="B81" s="115" t="s">
        <v>393</v>
      </c>
      <c r="C81" s="115" t="s">
        <v>394</v>
      </c>
      <c r="D81" s="76" t="s">
        <v>29</v>
      </c>
      <c r="E81" s="4" t="s">
        <v>18</v>
      </c>
      <c r="F81" s="4">
        <v>31661356</v>
      </c>
      <c r="G81" s="10" t="s">
        <v>128</v>
      </c>
      <c r="H81" s="78" t="s">
        <v>609</v>
      </c>
      <c r="I81" s="10" t="s">
        <v>610</v>
      </c>
      <c r="J81" s="12"/>
      <c r="K81" s="12"/>
      <c r="L81" s="80">
        <v>3</v>
      </c>
      <c r="M81" s="10">
        <v>3</v>
      </c>
      <c r="N81" s="80">
        <v>4</v>
      </c>
      <c r="O81" s="10">
        <v>4</v>
      </c>
      <c r="P81" s="80">
        <v>5</v>
      </c>
      <c r="Q81" s="10">
        <v>5</v>
      </c>
      <c r="R81" s="80">
        <v>4</v>
      </c>
      <c r="S81" s="10">
        <v>4</v>
      </c>
      <c r="T81" s="92">
        <f t="shared" si="4"/>
        <v>16</v>
      </c>
      <c r="U81" s="95">
        <f t="shared" si="5"/>
        <v>16</v>
      </c>
      <c r="V81" s="67">
        <f t="shared" si="7"/>
        <v>0</v>
      </c>
      <c r="W81" s="67" t="str">
        <f>IF(V81&gt;(MEDIAN(Scoring!V:V)+_xlfn.STDEV.P(Scoring!V:V)),"YES","")</f>
        <v/>
      </c>
      <c r="X81" s="67" t="str">
        <f>IF($W81="YES",VLOOKUP($A81,'Editors Rescore'!$A$2:$M$63,13,FALSE),"")</f>
        <v/>
      </c>
      <c r="Y81" s="81">
        <f t="shared" si="6"/>
        <v>16</v>
      </c>
    </row>
    <row r="82" spans="1:25" s="1" customFormat="1" ht="32.15" customHeight="1" x14ac:dyDescent="0.3">
      <c r="A82" s="114" t="s">
        <v>53</v>
      </c>
      <c r="B82" s="137" t="s">
        <v>874</v>
      </c>
      <c r="C82" s="113" t="s">
        <v>54</v>
      </c>
      <c r="D82" s="97" t="s">
        <v>29</v>
      </c>
      <c r="E82" s="93" t="s">
        <v>18</v>
      </c>
      <c r="F82" s="96">
        <v>28747237</v>
      </c>
      <c r="G82" s="93" t="s">
        <v>20</v>
      </c>
      <c r="H82" s="92" t="s">
        <v>606</v>
      </c>
      <c r="I82" s="93" t="s">
        <v>21</v>
      </c>
      <c r="J82" s="94"/>
      <c r="K82" s="94"/>
      <c r="L82" s="92">
        <v>3</v>
      </c>
      <c r="M82" s="93">
        <v>3</v>
      </c>
      <c r="N82" s="92">
        <v>4</v>
      </c>
      <c r="O82" s="93">
        <v>4</v>
      </c>
      <c r="P82" s="92">
        <v>5</v>
      </c>
      <c r="Q82" s="93">
        <v>5</v>
      </c>
      <c r="R82" s="92">
        <v>5</v>
      </c>
      <c r="S82" s="93">
        <v>3</v>
      </c>
      <c r="T82" s="92">
        <f t="shared" si="4"/>
        <v>17</v>
      </c>
      <c r="U82" s="95">
        <f t="shared" si="5"/>
        <v>15</v>
      </c>
      <c r="V82" s="67">
        <f t="shared" si="7"/>
        <v>2</v>
      </c>
      <c r="W82" s="67" t="str">
        <f>IF(V82&gt;(MEDIAN(Scoring!V:V)+_xlfn.STDEV.P(Scoring!V:V)),"YES","")</f>
        <v/>
      </c>
      <c r="X82" s="67" t="str">
        <f>IF($W82="YES",VLOOKUP($A82,'Editors Rescore'!$A$2:$M$63,13,FALSE),"")</f>
        <v/>
      </c>
      <c r="Y82" s="81">
        <f t="shared" si="6"/>
        <v>16</v>
      </c>
    </row>
    <row r="83" spans="1:25" s="1" customFormat="1" ht="32.15" customHeight="1" x14ac:dyDescent="0.3">
      <c r="A83" s="2" t="s">
        <v>338</v>
      </c>
      <c r="B83" s="2" t="s">
        <v>893</v>
      </c>
      <c r="C83" s="2" t="s">
        <v>342</v>
      </c>
      <c r="D83" s="68" t="s">
        <v>25</v>
      </c>
      <c r="E83" s="68" t="s">
        <v>18</v>
      </c>
      <c r="F83" s="69">
        <v>31366353</v>
      </c>
      <c r="G83" s="82" t="s">
        <v>605</v>
      </c>
      <c r="H83" s="84" t="s">
        <v>318</v>
      </c>
      <c r="I83" s="82" t="s">
        <v>626</v>
      </c>
      <c r="J83" s="87"/>
      <c r="K83" s="87"/>
      <c r="L83" s="84">
        <v>3</v>
      </c>
      <c r="M83" s="82">
        <v>3</v>
      </c>
      <c r="N83" s="84">
        <v>4</v>
      </c>
      <c r="O83" s="82">
        <v>4</v>
      </c>
      <c r="P83" s="84">
        <v>4</v>
      </c>
      <c r="Q83" s="82">
        <v>5</v>
      </c>
      <c r="R83" s="84">
        <v>4</v>
      </c>
      <c r="S83" s="82">
        <v>5</v>
      </c>
      <c r="T83" s="92">
        <f t="shared" si="4"/>
        <v>15</v>
      </c>
      <c r="U83" s="95">
        <f t="shared" si="5"/>
        <v>17</v>
      </c>
      <c r="V83" s="67">
        <f t="shared" si="7"/>
        <v>2</v>
      </c>
      <c r="W83" s="67" t="str">
        <f>IF(V83&gt;(MEDIAN(Scoring!V:V)+_xlfn.STDEV.P(Scoring!V:V)),"YES","")</f>
        <v/>
      </c>
      <c r="X83" s="67" t="str">
        <f>IF($W83="YES",VLOOKUP($A83,'Editors Rescore'!$A$2:$M$63,13,FALSE),"")</f>
        <v/>
      </c>
      <c r="Y83" s="81">
        <f t="shared" si="6"/>
        <v>16</v>
      </c>
    </row>
    <row r="84" spans="1:25" s="1" customFormat="1" ht="32.15" customHeight="1" x14ac:dyDescent="0.3">
      <c r="A84" s="125" t="s">
        <v>348</v>
      </c>
      <c r="B84" s="121" t="s">
        <v>836</v>
      </c>
      <c r="C84" s="121" t="s">
        <v>351</v>
      </c>
      <c r="D84" s="86" t="s">
        <v>17</v>
      </c>
      <c r="E84" s="67" t="s">
        <v>19</v>
      </c>
      <c r="F84" s="67">
        <v>31406601</v>
      </c>
      <c r="G84" s="86" t="s">
        <v>605</v>
      </c>
      <c r="H84" s="77" t="s">
        <v>626</v>
      </c>
      <c r="I84" s="76" t="s">
        <v>318</v>
      </c>
      <c r="J84" s="77">
        <v>5</v>
      </c>
      <c r="K84" s="76">
        <v>4</v>
      </c>
      <c r="L84" s="77">
        <v>5</v>
      </c>
      <c r="M84" s="76">
        <v>2</v>
      </c>
      <c r="N84" s="79"/>
      <c r="O84" s="79"/>
      <c r="P84" s="77">
        <v>5</v>
      </c>
      <c r="Q84" s="76">
        <v>4</v>
      </c>
      <c r="R84" s="77">
        <v>5</v>
      </c>
      <c r="S84" s="76">
        <v>4</v>
      </c>
      <c r="T84" s="92">
        <f t="shared" si="4"/>
        <v>20</v>
      </c>
      <c r="U84" s="95">
        <f t="shared" si="5"/>
        <v>14</v>
      </c>
      <c r="V84" s="67">
        <f t="shared" si="7"/>
        <v>6</v>
      </c>
      <c r="W84" s="67" t="str">
        <f>IF(V84&gt;(MEDIAN(Scoring!V:V)+_xlfn.STDEV.P(Scoring!V:V)),"YES","")</f>
        <v>YES</v>
      </c>
      <c r="X84" s="67">
        <f>IF($W84="YES",VLOOKUP($A84,'Editors Rescore'!$A$2:$M$63,13,FALSE),"")</f>
        <v>13</v>
      </c>
      <c r="Y84" s="81">
        <f t="shared" si="6"/>
        <v>15.666666666666666</v>
      </c>
    </row>
    <row r="85" spans="1:25" s="1" customFormat="1" ht="16" customHeight="1" x14ac:dyDescent="0.3">
      <c r="A85" s="138" t="s">
        <v>857</v>
      </c>
      <c r="B85" s="137" t="s">
        <v>858</v>
      </c>
      <c r="C85" s="113" t="s">
        <v>225</v>
      </c>
      <c r="D85" s="97" t="s">
        <v>17</v>
      </c>
      <c r="E85" s="93" t="s">
        <v>18</v>
      </c>
      <c r="F85" s="96">
        <v>31505001</v>
      </c>
      <c r="G85" s="97" t="s">
        <v>616</v>
      </c>
      <c r="H85" s="98" t="s">
        <v>617</v>
      </c>
      <c r="I85" s="97" t="s">
        <v>618</v>
      </c>
      <c r="J85" s="99"/>
      <c r="K85" s="99"/>
      <c r="L85" s="98">
        <v>4</v>
      </c>
      <c r="M85" s="97">
        <v>4</v>
      </c>
      <c r="N85" s="98">
        <v>4</v>
      </c>
      <c r="O85" s="97">
        <v>4</v>
      </c>
      <c r="P85" s="98">
        <v>5</v>
      </c>
      <c r="Q85" s="97">
        <v>3</v>
      </c>
      <c r="R85" s="98">
        <v>5</v>
      </c>
      <c r="S85" s="97">
        <v>2</v>
      </c>
      <c r="T85" s="92">
        <f t="shared" si="4"/>
        <v>18</v>
      </c>
      <c r="U85" s="95">
        <f t="shared" si="5"/>
        <v>13</v>
      </c>
      <c r="V85" s="67">
        <f t="shared" si="7"/>
        <v>5</v>
      </c>
      <c r="W85" s="67" t="str">
        <f>IF(V85&gt;(MEDIAN(Scoring!V:V)+_xlfn.STDEV.P(Scoring!V:V)),"YES","")</f>
        <v>YES</v>
      </c>
      <c r="X85" s="67">
        <f>IF($W85="YES",VLOOKUP($A85,'Editors Rescore'!$A$2:$M$63,13,FALSE),"")</f>
        <v>16</v>
      </c>
      <c r="Y85" s="81">
        <f t="shared" si="6"/>
        <v>15.666666666666666</v>
      </c>
    </row>
    <row r="86" spans="1:25" s="1" customFormat="1" ht="16" customHeight="1" x14ac:dyDescent="0.3">
      <c r="A86" s="2" t="s">
        <v>343</v>
      </c>
      <c r="B86" s="121" t="s">
        <v>646</v>
      </c>
      <c r="C86" s="121" t="s">
        <v>319</v>
      </c>
      <c r="D86" s="82" t="s">
        <v>25</v>
      </c>
      <c r="E86" s="68" t="s">
        <v>18</v>
      </c>
      <c r="F86" s="69">
        <v>31299835</v>
      </c>
      <c r="G86" s="68" t="s">
        <v>605</v>
      </c>
      <c r="H86" s="84" t="s">
        <v>626</v>
      </c>
      <c r="I86" s="68" t="s">
        <v>318</v>
      </c>
      <c r="J86" s="72"/>
      <c r="K86" s="72"/>
      <c r="L86" s="84">
        <v>3</v>
      </c>
      <c r="M86" s="68">
        <v>4</v>
      </c>
      <c r="N86" s="84">
        <v>3</v>
      </c>
      <c r="O86" s="68">
        <v>3</v>
      </c>
      <c r="P86" s="84">
        <v>5</v>
      </c>
      <c r="Q86" s="68">
        <v>3</v>
      </c>
      <c r="R86" s="84">
        <v>5</v>
      </c>
      <c r="S86" s="68">
        <v>5</v>
      </c>
      <c r="T86" s="92">
        <f t="shared" si="4"/>
        <v>16</v>
      </c>
      <c r="U86" s="95">
        <f t="shared" si="5"/>
        <v>15</v>
      </c>
      <c r="V86" s="67">
        <f t="shared" si="7"/>
        <v>1</v>
      </c>
      <c r="W86" s="67" t="str">
        <f>IF(V86&gt;(MEDIAN(Scoring!V:V)+_xlfn.STDEV.P(Scoring!V:V)),"YES","")</f>
        <v/>
      </c>
      <c r="X86" s="67" t="str">
        <f>IF($W86="YES",VLOOKUP($A86,'Editors Rescore'!$A$2:$M$63,13,FALSE),"")</f>
        <v/>
      </c>
      <c r="Y86" s="81">
        <f t="shared" si="6"/>
        <v>15.5</v>
      </c>
    </row>
    <row r="87" spans="1:25" s="1" customFormat="1" ht="16" customHeight="1" x14ac:dyDescent="0.3">
      <c r="A87" s="122" t="s">
        <v>582</v>
      </c>
      <c r="B87" s="115" t="s">
        <v>660</v>
      </c>
      <c r="C87" s="115" t="s">
        <v>72</v>
      </c>
      <c r="D87" s="76" t="s">
        <v>29</v>
      </c>
      <c r="E87" s="4" t="s">
        <v>19</v>
      </c>
      <c r="F87" s="4">
        <v>31488468</v>
      </c>
      <c r="G87" s="4" t="s">
        <v>611</v>
      </c>
      <c r="H87" s="9" t="s">
        <v>614</v>
      </c>
      <c r="I87" s="4" t="s">
        <v>615</v>
      </c>
      <c r="J87" s="9">
        <v>5</v>
      </c>
      <c r="K87" s="4">
        <v>5</v>
      </c>
      <c r="L87" s="9">
        <v>2</v>
      </c>
      <c r="M87" s="4">
        <v>2</v>
      </c>
      <c r="N87" s="11"/>
      <c r="O87" s="11"/>
      <c r="P87" s="9">
        <v>4</v>
      </c>
      <c r="Q87" s="4">
        <v>4</v>
      </c>
      <c r="R87" s="9">
        <v>4</v>
      </c>
      <c r="S87" s="4">
        <v>5</v>
      </c>
      <c r="T87" s="92">
        <f t="shared" si="4"/>
        <v>15</v>
      </c>
      <c r="U87" s="95">
        <f t="shared" si="5"/>
        <v>16</v>
      </c>
      <c r="V87" s="67">
        <f t="shared" si="7"/>
        <v>1</v>
      </c>
      <c r="W87" s="67" t="str">
        <f>IF(V87&gt;(MEDIAN(Scoring!V:V)+_xlfn.STDEV.P(Scoring!V:V)),"YES","")</f>
        <v/>
      </c>
      <c r="X87" s="67" t="str">
        <f>IF($W87="YES",VLOOKUP($A87,'Editors Rescore'!$A$2:$M$63,13,FALSE),"")</f>
        <v/>
      </c>
      <c r="Y87" s="81">
        <f t="shared" si="6"/>
        <v>15.5</v>
      </c>
    </row>
    <row r="88" spans="1:25" s="1" customFormat="1" ht="32.15" customHeight="1" x14ac:dyDescent="0.3">
      <c r="A88" s="122" t="s">
        <v>479</v>
      </c>
      <c r="B88" s="115" t="s">
        <v>669</v>
      </c>
      <c r="C88" s="115" t="s">
        <v>127</v>
      </c>
      <c r="D88" s="76" t="s">
        <v>17</v>
      </c>
      <c r="E88" s="4" t="s">
        <v>18</v>
      </c>
      <c r="F88" s="4">
        <v>31570311</v>
      </c>
      <c r="G88" s="76" t="s">
        <v>616</v>
      </c>
      <c r="H88" s="83" t="s">
        <v>618</v>
      </c>
      <c r="I88" s="76" t="s">
        <v>617</v>
      </c>
      <c r="J88" s="79"/>
      <c r="K88" s="79"/>
      <c r="L88" s="85">
        <v>4</v>
      </c>
      <c r="M88" s="76">
        <v>4</v>
      </c>
      <c r="N88" s="85">
        <v>4</v>
      </c>
      <c r="O88" s="76">
        <v>4</v>
      </c>
      <c r="P88" s="85">
        <v>4</v>
      </c>
      <c r="Q88" s="76">
        <v>3</v>
      </c>
      <c r="R88" s="85">
        <v>4</v>
      </c>
      <c r="S88" s="76">
        <v>4</v>
      </c>
      <c r="T88" s="92">
        <f t="shared" si="4"/>
        <v>16</v>
      </c>
      <c r="U88" s="95">
        <f t="shared" si="5"/>
        <v>15</v>
      </c>
      <c r="V88" s="67">
        <f t="shared" si="7"/>
        <v>1</v>
      </c>
      <c r="W88" s="67" t="str">
        <f>IF(V88&gt;(MEDIAN(Scoring!V:V)+_xlfn.STDEV.P(Scoring!V:V)),"YES","")</f>
        <v/>
      </c>
      <c r="X88" s="67" t="str">
        <f>IF($W88="YES",VLOOKUP($A88,'Editors Rescore'!$A$2:$M$63,13,FALSE),"")</f>
        <v/>
      </c>
      <c r="Y88" s="81">
        <f t="shared" si="6"/>
        <v>15.5</v>
      </c>
    </row>
    <row r="89" spans="1:25" s="1" customFormat="1" ht="16" customHeight="1" x14ac:dyDescent="0.3">
      <c r="A89" s="122" t="s">
        <v>533</v>
      </c>
      <c r="B89" s="115" t="s">
        <v>674</v>
      </c>
      <c r="C89" s="115" t="s">
        <v>534</v>
      </c>
      <c r="D89" s="76" t="s">
        <v>29</v>
      </c>
      <c r="E89" s="4" t="s">
        <v>18</v>
      </c>
      <c r="F89" s="4">
        <v>30805693</v>
      </c>
      <c r="G89" s="4" t="s">
        <v>605</v>
      </c>
      <c r="H89" s="77" t="s">
        <v>626</v>
      </c>
      <c r="I89" s="4" t="s">
        <v>318</v>
      </c>
      <c r="J89" s="11"/>
      <c r="K89" s="11"/>
      <c r="L89" s="77">
        <v>4</v>
      </c>
      <c r="M89" s="4">
        <v>3</v>
      </c>
      <c r="N89" s="77">
        <v>4</v>
      </c>
      <c r="O89" s="4">
        <v>4</v>
      </c>
      <c r="P89" s="77">
        <v>5</v>
      </c>
      <c r="Q89" s="4">
        <v>4</v>
      </c>
      <c r="R89" s="77">
        <v>4</v>
      </c>
      <c r="S89" s="4">
        <v>3</v>
      </c>
      <c r="T89" s="92">
        <f t="shared" si="4"/>
        <v>17</v>
      </c>
      <c r="U89" s="95">
        <f t="shared" si="5"/>
        <v>14</v>
      </c>
      <c r="V89" s="67">
        <f t="shared" si="7"/>
        <v>3</v>
      </c>
      <c r="W89" s="67" t="str">
        <f>IF(V89&gt;(MEDIAN(Scoring!V:V)+_xlfn.STDEV.P(Scoring!V:V)),"YES","")</f>
        <v/>
      </c>
      <c r="X89" s="67" t="str">
        <f>IF($W89="YES",VLOOKUP($A89,'Editors Rescore'!$A$2:$M$63,13,FALSE),"")</f>
        <v/>
      </c>
      <c r="Y89" s="81">
        <f t="shared" si="6"/>
        <v>15.5</v>
      </c>
    </row>
    <row r="90" spans="1:25" s="1" customFormat="1" ht="32.15" customHeight="1" x14ac:dyDescent="0.3">
      <c r="A90" s="114" t="s">
        <v>226</v>
      </c>
      <c r="B90" s="113" t="s">
        <v>227</v>
      </c>
      <c r="C90" s="113" t="s">
        <v>24</v>
      </c>
      <c r="D90" s="97" t="s">
        <v>17</v>
      </c>
      <c r="E90" s="93" t="s">
        <v>18</v>
      </c>
      <c r="F90" s="96">
        <v>31193823</v>
      </c>
      <c r="G90" s="97" t="s">
        <v>616</v>
      </c>
      <c r="H90" s="98" t="s">
        <v>617</v>
      </c>
      <c r="I90" s="97" t="s">
        <v>618</v>
      </c>
      <c r="J90" s="99"/>
      <c r="K90" s="99"/>
      <c r="L90" s="98">
        <v>4</v>
      </c>
      <c r="M90" s="97">
        <v>4</v>
      </c>
      <c r="N90" s="98">
        <v>3</v>
      </c>
      <c r="O90" s="97">
        <v>4</v>
      </c>
      <c r="P90" s="98">
        <v>5</v>
      </c>
      <c r="Q90" s="97">
        <v>4</v>
      </c>
      <c r="R90" s="98">
        <v>4</v>
      </c>
      <c r="S90" s="97">
        <v>3</v>
      </c>
      <c r="T90" s="92">
        <f t="shared" si="4"/>
        <v>16</v>
      </c>
      <c r="U90" s="95">
        <f t="shared" si="5"/>
        <v>15</v>
      </c>
      <c r="V90" s="67">
        <f t="shared" si="7"/>
        <v>1</v>
      </c>
      <c r="W90" s="67" t="str">
        <f>IF(V90&gt;(MEDIAN(Scoring!V:V)+_xlfn.STDEV.P(Scoring!V:V)),"YES","")</f>
        <v/>
      </c>
      <c r="X90" s="67" t="str">
        <f>IF($W90="YES",VLOOKUP($A90,'Editors Rescore'!$A$2:$M$63,13,FALSE),"")</f>
        <v/>
      </c>
      <c r="Y90" s="81">
        <f t="shared" si="6"/>
        <v>15.5</v>
      </c>
    </row>
    <row r="91" spans="1:25" s="1" customFormat="1" ht="32.15" customHeight="1" x14ac:dyDescent="0.3">
      <c r="A91" s="114" t="s">
        <v>252</v>
      </c>
      <c r="B91" s="114" t="s">
        <v>253</v>
      </c>
      <c r="C91" s="114" t="s">
        <v>99</v>
      </c>
      <c r="D91" s="93" t="s">
        <v>17</v>
      </c>
      <c r="E91" s="93" t="s">
        <v>18</v>
      </c>
      <c r="F91" s="96">
        <v>30898105</v>
      </c>
      <c r="G91" s="97" t="s">
        <v>128</v>
      </c>
      <c r="H91" s="98" t="s">
        <v>609</v>
      </c>
      <c r="I91" s="97" t="s">
        <v>610</v>
      </c>
      <c r="J91" s="99"/>
      <c r="K91" s="99"/>
      <c r="L91" s="98">
        <v>4</v>
      </c>
      <c r="M91" s="97">
        <v>4</v>
      </c>
      <c r="N91" s="98">
        <v>4</v>
      </c>
      <c r="O91" s="97">
        <v>4</v>
      </c>
      <c r="P91" s="98">
        <v>5</v>
      </c>
      <c r="Q91" s="97">
        <v>3</v>
      </c>
      <c r="R91" s="98">
        <v>4</v>
      </c>
      <c r="S91" s="97">
        <v>3</v>
      </c>
      <c r="T91" s="92">
        <f t="shared" si="4"/>
        <v>17</v>
      </c>
      <c r="U91" s="95">
        <f t="shared" si="5"/>
        <v>14</v>
      </c>
      <c r="V91" s="67">
        <f t="shared" si="7"/>
        <v>3</v>
      </c>
      <c r="W91" s="67" t="str">
        <f>IF(V91&gt;(MEDIAN(Scoring!V:V)+_xlfn.STDEV.P(Scoring!V:V)),"YES","")</f>
        <v/>
      </c>
      <c r="X91" s="67" t="str">
        <f>IF($W91="YES",VLOOKUP($A91,'Editors Rescore'!$A$2:$M$63,13,FALSE),"")</f>
        <v/>
      </c>
      <c r="Y91" s="81">
        <f t="shared" si="6"/>
        <v>15.5</v>
      </c>
    </row>
    <row r="92" spans="1:25" s="1" customFormat="1" ht="32.15" customHeight="1" x14ac:dyDescent="0.3">
      <c r="A92" s="122" t="s">
        <v>61</v>
      </c>
      <c r="B92" s="112" t="s">
        <v>62</v>
      </c>
      <c r="C92" s="112" t="s">
        <v>64</v>
      </c>
      <c r="D92" s="4" t="s">
        <v>29</v>
      </c>
      <c r="E92" s="4" t="s">
        <v>19</v>
      </c>
      <c r="F92" s="4">
        <v>31297141</v>
      </c>
      <c r="G92" s="76" t="s">
        <v>611</v>
      </c>
      <c r="H92" s="77" t="s">
        <v>614</v>
      </c>
      <c r="I92" s="76" t="s">
        <v>615</v>
      </c>
      <c r="J92" s="77">
        <v>5</v>
      </c>
      <c r="K92" s="76">
        <v>5</v>
      </c>
      <c r="L92" s="77">
        <v>3</v>
      </c>
      <c r="M92" s="76">
        <v>3</v>
      </c>
      <c r="N92" s="79"/>
      <c r="O92" s="79"/>
      <c r="P92" s="77">
        <v>3</v>
      </c>
      <c r="Q92" s="76">
        <v>3</v>
      </c>
      <c r="R92" s="77">
        <v>4</v>
      </c>
      <c r="S92" s="76">
        <v>5</v>
      </c>
      <c r="T92" s="92">
        <f t="shared" si="4"/>
        <v>15</v>
      </c>
      <c r="U92" s="95">
        <f t="shared" si="5"/>
        <v>16</v>
      </c>
      <c r="V92" s="67">
        <f t="shared" si="7"/>
        <v>1</v>
      </c>
      <c r="W92" s="67" t="str">
        <f>IF(V92&gt;(MEDIAN(Scoring!V:V)+_xlfn.STDEV.P(Scoring!V:V)),"YES","")</f>
        <v/>
      </c>
      <c r="X92" s="67" t="str">
        <f>IF($W92="YES",VLOOKUP($A92,'Editors Rescore'!$A$2:$M$63,13,FALSE),"")</f>
        <v/>
      </c>
      <c r="Y92" s="81">
        <f t="shared" si="6"/>
        <v>15.5</v>
      </c>
    </row>
    <row r="93" spans="1:25" s="1" customFormat="1" ht="16" customHeight="1" x14ac:dyDescent="0.3">
      <c r="A93" s="122" t="s">
        <v>709</v>
      </c>
      <c r="B93" s="115" t="s">
        <v>708</v>
      </c>
      <c r="C93" s="115" t="s">
        <v>138</v>
      </c>
      <c r="D93" s="76" t="s">
        <v>29</v>
      </c>
      <c r="E93" s="4" t="s">
        <v>19</v>
      </c>
      <c r="F93" s="4">
        <v>31799001</v>
      </c>
      <c r="G93" s="76" t="s">
        <v>616</v>
      </c>
      <c r="H93" s="83" t="s">
        <v>465</v>
      </c>
      <c r="I93" s="76" t="s">
        <v>604</v>
      </c>
      <c r="J93" s="83">
        <v>5</v>
      </c>
      <c r="K93" s="76">
        <v>5</v>
      </c>
      <c r="L93" s="83">
        <v>2</v>
      </c>
      <c r="M93" s="76">
        <v>2</v>
      </c>
      <c r="N93" s="79"/>
      <c r="O93" s="79"/>
      <c r="P93" s="83">
        <v>5</v>
      </c>
      <c r="Q93" s="76">
        <v>5</v>
      </c>
      <c r="R93" s="83">
        <v>4</v>
      </c>
      <c r="S93" s="76">
        <v>3</v>
      </c>
      <c r="T93" s="92">
        <f t="shared" si="4"/>
        <v>16</v>
      </c>
      <c r="U93" s="95">
        <f t="shared" si="5"/>
        <v>15</v>
      </c>
      <c r="V93" s="67">
        <f t="shared" si="7"/>
        <v>1</v>
      </c>
      <c r="W93" s="67" t="str">
        <f>IF(V93&gt;(MEDIAN(Scoring!V:V)+_xlfn.STDEV.P(Scoring!V:V)),"YES","")</f>
        <v/>
      </c>
      <c r="X93" s="67" t="str">
        <f>IF($W93="YES",VLOOKUP($A93,'Editors Rescore'!$A$2:$M$63,13,FALSE),"")</f>
        <v/>
      </c>
      <c r="Y93" s="81">
        <f t="shared" si="6"/>
        <v>15.5</v>
      </c>
    </row>
    <row r="94" spans="1:25" s="1" customFormat="1" ht="16" customHeight="1" x14ac:dyDescent="0.3">
      <c r="A94" s="129" t="s">
        <v>715</v>
      </c>
      <c r="B94" s="128" t="s">
        <v>716</v>
      </c>
      <c r="C94" s="114" t="s">
        <v>33</v>
      </c>
      <c r="D94" s="103" t="s">
        <v>29</v>
      </c>
      <c r="E94" s="103" t="s">
        <v>19</v>
      </c>
      <c r="F94" s="103">
        <v>31203832</v>
      </c>
      <c r="G94" s="103" t="s">
        <v>20</v>
      </c>
      <c r="H94" s="107" t="s">
        <v>606</v>
      </c>
      <c r="I94" s="103" t="s">
        <v>21</v>
      </c>
      <c r="J94" s="107">
        <v>5</v>
      </c>
      <c r="K94" s="103">
        <v>4</v>
      </c>
      <c r="L94" s="107">
        <v>3</v>
      </c>
      <c r="M94" s="103">
        <v>5</v>
      </c>
      <c r="N94" s="108"/>
      <c r="O94" s="108"/>
      <c r="P94" s="107">
        <v>5</v>
      </c>
      <c r="Q94" s="103">
        <v>4</v>
      </c>
      <c r="R94" s="107">
        <v>1</v>
      </c>
      <c r="S94" s="103">
        <v>4</v>
      </c>
      <c r="T94" s="92">
        <f t="shared" si="4"/>
        <v>14</v>
      </c>
      <c r="U94" s="95">
        <f t="shared" si="5"/>
        <v>17</v>
      </c>
      <c r="V94" s="67">
        <f t="shared" si="7"/>
        <v>3</v>
      </c>
      <c r="W94" s="67" t="str">
        <f>IF(V94&gt;(MEDIAN(Scoring!V:V)+_xlfn.STDEV.P(Scoring!V:V)),"YES","")</f>
        <v/>
      </c>
      <c r="X94" s="67" t="str">
        <f>IF($W94="YES",VLOOKUP($A94,'Editors Rescore'!$A$2:$M$63,13,FALSE),"")</f>
        <v/>
      </c>
      <c r="Y94" s="81">
        <f t="shared" si="6"/>
        <v>15.5</v>
      </c>
    </row>
    <row r="95" spans="1:25" s="1" customFormat="1" ht="16" customHeight="1" x14ac:dyDescent="0.3">
      <c r="A95" s="114" t="s">
        <v>238</v>
      </c>
      <c r="B95" s="130" t="s">
        <v>725</v>
      </c>
      <c r="C95" s="113" t="s">
        <v>36</v>
      </c>
      <c r="D95" s="97" t="s">
        <v>25</v>
      </c>
      <c r="E95" s="93" t="s">
        <v>18</v>
      </c>
      <c r="F95" s="96">
        <v>31301812</v>
      </c>
      <c r="G95" s="93" t="s">
        <v>616</v>
      </c>
      <c r="H95" s="92" t="s">
        <v>465</v>
      </c>
      <c r="I95" s="93" t="s">
        <v>604</v>
      </c>
      <c r="J95" s="94"/>
      <c r="K95" s="94"/>
      <c r="L95" s="92">
        <v>4</v>
      </c>
      <c r="M95" s="93">
        <v>4</v>
      </c>
      <c r="N95" s="92">
        <v>2</v>
      </c>
      <c r="O95" s="93">
        <v>2</v>
      </c>
      <c r="P95" s="92">
        <v>5</v>
      </c>
      <c r="Q95" s="93">
        <v>5</v>
      </c>
      <c r="R95" s="92">
        <v>4</v>
      </c>
      <c r="S95" s="93">
        <v>5</v>
      </c>
      <c r="T95" s="92">
        <f t="shared" si="4"/>
        <v>15</v>
      </c>
      <c r="U95" s="95">
        <f t="shared" si="5"/>
        <v>16</v>
      </c>
      <c r="V95" s="67">
        <f t="shared" si="7"/>
        <v>1</v>
      </c>
      <c r="W95" s="67" t="str">
        <f>IF(V95&gt;(MEDIAN(Scoring!V:V)+_xlfn.STDEV.P(Scoring!V:V)),"YES","")</f>
        <v/>
      </c>
      <c r="X95" s="67" t="str">
        <f>IF($W95="YES",VLOOKUP($A95,'Editors Rescore'!$A$2:$M$63,13,FALSE),"")</f>
        <v/>
      </c>
      <c r="Y95" s="81">
        <f t="shared" si="6"/>
        <v>15.5</v>
      </c>
    </row>
    <row r="96" spans="1:25" s="1" customFormat="1" ht="16" customHeight="1" x14ac:dyDescent="0.3">
      <c r="A96" s="122" t="s">
        <v>734</v>
      </c>
      <c r="B96" s="115" t="s">
        <v>735</v>
      </c>
      <c r="C96" s="115" t="s">
        <v>52</v>
      </c>
      <c r="D96" s="76" t="s">
        <v>29</v>
      </c>
      <c r="E96" s="4" t="s">
        <v>18</v>
      </c>
      <c r="F96" s="4">
        <v>30835777</v>
      </c>
      <c r="G96" s="76" t="s">
        <v>624</v>
      </c>
      <c r="H96" s="83" t="s">
        <v>366</v>
      </c>
      <c r="I96" s="76" t="s">
        <v>625</v>
      </c>
      <c r="J96" s="79"/>
      <c r="K96" s="79"/>
      <c r="L96" s="85">
        <v>4</v>
      </c>
      <c r="M96" s="76">
        <v>4</v>
      </c>
      <c r="N96" s="85">
        <v>4</v>
      </c>
      <c r="O96" s="76">
        <v>3</v>
      </c>
      <c r="P96" s="85">
        <v>5</v>
      </c>
      <c r="Q96" s="76">
        <v>5</v>
      </c>
      <c r="R96" s="85">
        <v>1</v>
      </c>
      <c r="S96" s="76">
        <v>5</v>
      </c>
      <c r="T96" s="92">
        <f t="shared" si="4"/>
        <v>14</v>
      </c>
      <c r="U96" s="95">
        <f t="shared" si="5"/>
        <v>17</v>
      </c>
      <c r="V96" s="67">
        <f t="shared" si="7"/>
        <v>3</v>
      </c>
      <c r="W96" s="67" t="str">
        <f>IF(V96&gt;(MEDIAN(Scoring!V:V)+_xlfn.STDEV.P(Scoring!V:V)),"YES","")</f>
        <v/>
      </c>
      <c r="X96" s="67" t="str">
        <f>IF($W96="YES",VLOOKUP($A96,'Editors Rescore'!$A$2:$M$63,13,FALSE),"")</f>
        <v/>
      </c>
      <c r="Y96" s="81">
        <f t="shared" si="6"/>
        <v>15.5</v>
      </c>
    </row>
    <row r="97" spans="1:25" s="1" customFormat="1" ht="32.15" customHeight="1" x14ac:dyDescent="0.3">
      <c r="A97" s="132" t="s">
        <v>737</v>
      </c>
      <c r="B97" s="150" t="s">
        <v>738</v>
      </c>
      <c r="C97" s="113" t="s">
        <v>77</v>
      </c>
      <c r="D97" s="97" t="s">
        <v>25</v>
      </c>
      <c r="E97" s="93" t="s">
        <v>18</v>
      </c>
      <c r="F97" s="96">
        <v>31123546</v>
      </c>
      <c r="G97" s="93" t="s">
        <v>20</v>
      </c>
      <c r="H97" s="92" t="s">
        <v>21</v>
      </c>
      <c r="I97" s="93" t="s">
        <v>606</v>
      </c>
      <c r="J97" s="94"/>
      <c r="K97" s="94"/>
      <c r="L97" s="92">
        <v>4</v>
      </c>
      <c r="M97" s="93">
        <v>3</v>
      </c>
      <c r="N97" s="92">
        <v>4</v>
      </c>
      <c r="O97" s="93">
        <v>3</v>
      </c>
      <c r="P97" s="92">
        <v>5</v>
      </c>
      <c r="Q97" s="93">
        <v>5</v>
      </c>
      <c r="R97" s="92">
        <v>4</v>
      </c>
      <c r="S97" s="93">
        <v>3</v>
      </c>
      <c r="T97" s="92">
        <f t="shared" si="4"/>
        <v>17</v>
      </c>
      <c r="U97" s="95">
        <f t="shared" si="5"/>
        <v>14</v>
      </c>
      <c r="V97" s="67">
        <f t="shared" si="7"/>
        <v>3</v>
      </c>
      <c r="W97" s="67" t="str">
        <f>IF(V97&gt;(MEDIAN(Scoring!V:V)+_xlfn.STDEV.P(Scoring!V:V)),"YES","")</f>
        <v/>
      </c>
      <c r="X97" s="67" t="str">
        <f>IF($W97="YES",VLOOKUP($A97,'Editors Rescore'!$A$2:$M$63,13,FALSE),"")</f>
        <v/>
      </c>
      <c r="Y97" s="81">
        <f t="shared" si="6"/>
        <v>15.5</v>
      </c>
    </row>
    <row r="98" spans="1:25" s="1" customFormat="1" ht="16" customHeight="1" x14ac:dyDescent="0.3">
      <c r="A98" s="122" t="s">
        <v>739</v>
      </c>
      <c r="B98" s="112" t="s">
        <v>740</v>
      </c>
      <c r="C98" s="112" t="s">
        <v>741</v>
      </c>
      <c r="D98" s="4" t="s">
        <v>17</v>
      </c>
      <c r="E98" s="4" t="s">
        <v>19</v>
      </c>
      <c r="F98" s="4">
        <v>31548997</v>
      </c>
      <c r="G98" s="76" t="s">
        <v>605</v>
      </c>
      <c r="H98" s="77" t="s">
        <v>318</v>
      </c>
      <c r="I98" s="76" t="s">
        <v>626</v>
      </c>
      <c r="J98" s="77">
        <v>5</v>
      </c>
      <c r="K98" s="76">
        <v>5</v>
      </c>
      <c r="L98" s="77">
        <v>3</v>
      </c>
      <c r="M98" s="76">
        <v>2</v>
      </c>
      <c r="N98" s="79"/>
      <c r="O98" s="79"/>
      <c r="P98" s="77">
        <v>5</v>
      </c>
      <c r="Q98" s="76">
        <v>5</v>
      </c>
      <c r="R98" s="77">
        <v>3</v>
      </c>
      <c r="S98" s="76">
        <v>3</v>
      </c>
      <c r="T98" s="92">
        <f t="shared" si="4"/>
        <v>16</v>
      </c>
      <c r="U98" s="95">
        <f t="shared" si="5"/>
        <v>15</v>
      </c>
      <c r="V98" s="67">
        <f t="shared" si="7"/>
        <v>1</v>
      </c>
      <c r="W98" s="67" t="str">
        <f>IF(V98&gt;(MEDIAN(Scoring!V:V)+_xlfn.STDEV.P(Scoring!V:V)),"YES","")</f>
        <v/>
      </c>
      <c r="X98" s="67" t="str">
        <f>IF($W98="YES",VLOOKUP($A98,'Editors Rescore'!$A$2:$M$63,13,FALSE),"")</f>
        <v/>
      </c>
      <c r="Y98" s="81">
        <f t="shared" si="6"/>
        <v>15.5</v>
      </c>
    </row>
    <row r="99" spans="1:25" s="1" customFormat="1" ht="16" customHeight="1" x14ac:dyDescent="0.3">
      <c r="A99" s="123" t="s">
        <v>100</v>
      </c>
      <c r="B99" s="132" t="s">
        <v>745</v>
      </c>
      <c r="C99" s="114" t="s">
        <v>101</v>
      </c>
      <c r="D99" s="103" t="s">
        <v>29</v>
      </c>
      <c r="E99" s="103" t="s">
        <v>19</v>
      </c>
      <c r="F99" s="103">
        <v>31092239</v>
      </c>
      <c r="G99" s="104" t="s">
        <v>616</v>
      </c>
      <c r="H99" s="105" t="s">
        <v>604</v>
      </c>
      <c r="I99" s="104" t="s">
        <v>465</v>
      </c>
      <c r="J99" s="105">
        <v>5</v>
      </c>
      <c r="K99" s="104">
        <v>5</v>
      </c>
      <c r="L99" s="105">
        <v>3</v>
      </c>
      <c r="M99" s="104">
        <v>1</v>
      </c>
      <c r="N99" s="106"/>
      <c r="O99" s="106"/>
      <c r="P99" s="105">
        <v>5</v>
      </c>
      <c r="Q99" s="104">
        <v>5</v>
      </c>
      <c r="R99" s="105">
        <v>3</v>
      </c>
      <c r="S99" s="104">
        <v>4</v>
      </c>
      <c r="T99" s="92">
        <f t="shared" si="4"/>
        <v>16</v>
      </c>
      <c r="U99" s="95">
        <f t="shared" si="5"/>
        <v>15</v>
      </c>
      <c r="V99" s="67">
        <f t="shared" si="7"/>
        <v>1</v>
      </c>
      <c r="W99" s="67" t="str">
        <f>IF(V99&gt;(MEDIAN(Scoring!V:V)+_xlfn.STDEV.P(Scoring!V:V)),"YES","")</f>
        <v/>
      </c>
      <c r="X99" s="67" t="str">
        <f>IF($W99="YES",VLOOKUP($A99,'Editors Rescore'!$A$2:$M$63,13,FALSE),"")</f>
        <v/>
      </c>
      <c r="Y99" s="81">
        <f t="shared" si="6"/>
        <v>15.5</v>
      </c>
    </row>
    <row r="100" spans="1:25" s="1" customFormat="1" ht="16" customHeight="1" x14ac:dyDescent="0.3">
      <c r="A100" s="2" t="s">
        <v>336</v>
      </c>
      <c r="B100" s="121" t="s">
        <v>799</v>
      </c>
      <c r="C100" s="121" t="s">
        <v>292</v>
      </c>
      <c r="D100" s="82" t="s">
        <v>17</v>
      </c>
      <c r="E100" s="68" t="s">
        <v>18</v>
      </c>
      <c r="F100" s="69">
        <v>31058761</v>
      </c>
      <c r="G100" s="68" t="s">
        <v>605</v>
      </c>
      <c r="H100" s="71" t="s">
        <v>318</v>
      </c>
      <c r="I100" s="68" t="s">
        <v>626</v>
      </c>
      <c r="J100" s="72"/>
      <c r="K100" s="72"/>
      <c r="L100" s="71">
        <v>4</v>
      </c>
      <c r="M100" s="68">
        <v>3</v>
      </c>
      <c r="N100" s="71">
        <v>4</v>
      </c>
      <c r="O100" s="68">
        <v>3</v>
      </c>
      <c r="P100" s="71">
        <v>5</v>
      </c>
      <c r="Q100" s="68">
        <v>4</v>
      </c>
      <c r="R100" s="71">
        <v>4</v>
      </c>
      <c r="S100" s="68">
        <v>4</v>
      </c>
      <c r="T100" s="92">
        <f t="shared" si="4"/>
        <v>17</v>
      </c>
      <c r="U100" s="95">
        <f t="shared" si="5"/>
        <v>14</v>
      </c>
      <c r="V100" s="67">
        <f t="shared" si="7"/>
        <v>3</v>
      </c>
      <c r="W100" s="67" t="str">
        <f>IF(V100&gt;(MEDIAN(Scoring!V:V)+_xlfn.STDEV.P(Scoring!V:V)),"YES","")</f>
        <v/>
      </c>
      <c r="X100" s="67" t="str">
        <f>IF($W100="YES",VLOOKUP($A100,'Editors Rescore'!$A$2:$M$63,13,FALSE),"")</f>
        <v/>
      </c>
      <c r="Y100" s="81">
        <f t="shared" si="6"/>
        <v>15.5</v>
      </c>
    </row>
    <row r="101" spans="1:25" s="1" customFormat="1" ht="32.15" customHeight="1" x14ac:dyDescent="0.3">
      <c r="A101" s="133" t="s">
        <v>805</v>
      </c>
      <c r="B101" s="113" t="s">
        <v>178</v>
      </c>
      <c r="C101" s="113" t="s">
        <v>24</v>
      </c>
      <c r="D101" s="97" t="s">
        <v>25</v>
      </c>
      <c r="E101" s="93" t="s">
        <v>18</v>
      </c>
      <c r="F101" s="96">
        <v>30976497</v>
      </c>
      <c r="G101" s="93" t="s">
        <v>611</v>
      </c>
      <c r="H101" s="92" t="s">
        <v>615</v>
      </c>
      <c r="I101" s="93" t="s">
        <v>614</v>
      </c>
      <c r="J101" s="94"/>
      <c r="K101" s="94"/>
      <c r="L101" s="92">
        <v>3</v>
      </c>
      <c r="M101" s="93">
        <v>3</v>
      </c>
      <c r="N101" s="92">
        <v>4</v>
      </c>
      <c r="O101" s="93">
        <v>4</v>
      </c>
      <c r="P101" s="92">
        <v>5</v>
      </c>
      <c r="Q101" s="93">
        <v>3</v>
      </c>
      <c r="R101" s="92">
        <v>4</v>
      </c>
      <c r="S101" s="93">
        <v>5</v>
      </c>
      <c r="T101" s="92">
        <f t="shared" si="4"/>
        <v>16</v>
      </c>
      <c r="U101" s="95">
        <f t="shared" si="5"/>
        <v>15</v>
      </c>
      <c r="V101" s="67">
        <f t="shared" si="7"/>
        <v>1</v>
      </c>
      <c r="W101" s="67" t="str">
        <f>IF(V101&gt;(MEDIAN(Scoring!V:V)+_xlfn.STDEV.P(Scoring!V:V)),"YES","")</f>
        <v/>
      </c>
      <c r="X101" s="67" t="str">
        <f>IF($W101="YES",VLOOKUP($A101,'Editors Rescore'!$A$2:$M$63,13,FALSE),"")</f>
        <v/>
      </c>
      <c r="Y101" s="81">
        <f t="shared" si="6"/>
        <v>15.5</v>
      </c>
    </row>
    <row r="102" spans="1:25" s="1" customFormat="1" ht="16" customHeight="1" x14ac:dyDescent="0.3">
      <c r="A102" s="114" t="s">
        <v>152</v>
      </c>
      <c r="B102" s="134" t="s">
        <v>814</v>
      </c>
      <c r="C102" s="113" t="s">
        <v>154</v>
      </c>
      <c r="D102" s="97" t="s">
        <v>17</v>
      </c>
      <c r="E102" s="93" t="s">
        <v>18</v>
      </c>
      <c r="F102" s="96">
        <v>30628565</v>
      </c>
      <c r="G102" s="93" t="s">
        <v>619</v>
      </c>
      <c r="H102" s="92" t="s">
        <v>622</v>
      </c>
      <c r="I102" s="93" t="s">
        <v>623</v>
      </c>
      <c r="J102" s="94"/>
      <c r="K102" s="94"/>
      <c r="L102" s="92">
        <v>3</v>
      </c>
      <c r="M102" s="93">
        <v>4</v>
      </c>
      <c r="N102" s="92">
        <v>4</v>
      </c>
      <c r="O102" s="93">
        <v>4</v>
      </c>
      <c r="P102" s="92">
        <v>3</v>
      </c>
      <c r="Q102" s="93">
        <v>5</v>
      </c>
      <c r="R102" s="92">
        <v>4</v>
      </c>
      <c r="S102" s="93">
        <v>4</v>
      </c>
      <c r="T102" s="92">
        <f t="shared" si="4"/>
        <v>14</v>
      </c>
      <c r="U102" s="95">
        <f t="shared" si="5"/>
        <v>17</v>
      </c>
      <c r="V102" s="67">
        <f t="shared" si="7"/>
        <v>3</v>
      </c>
      <c r="W102" s="67" t="str">
        <f>IF(V102&gt;(MEDIAN(Scoring!V:V)+_xlfn.STDEV.P(Scoring!V:V)),"YES","")</f>
        <v/>
      </c>
      <c r="X102" s="67" t="str">
        <f>IF($W102="YES",VLOOKUP($A102,'Editors Rescore'!$A$2:$M$63,13,FALSE),"")</f>
        <v/>
      </c>
      <c r="Y102" s="81">
        <f t="shared" si="6"/>
        <v>15.5</v>
      </c>
    </row>
    <row r="103" spans="1:25" s="1" customFormat="1" ht="32.15" customHeight="1" x14ac:dyDescent="0.3">
      <c r="A103" s="114" t="s">
        <v>70</v>
      </c>
      <c r="B103" s="113" t="s">
        <v>71</v>
      </c>
      <c r="C103" s="113" t="s">
        <v>310</v>
      </c>
      <c r="D103" s="97" t="s">
        <v>17</v>
      </c>
      <c r="E103" s="93" t="s">
        <v>18</v>
      </c>
      <c r="F103" s="96">
        <v>31487623</v>
      </c>
      <c r="G103" s="93" t="s">
        <v>20</v>
      </c>
      <c r="H103" s="92" t="s">
        <v>21</v>
      </c>
      <c r="I103" s="93" t="s">
        <v>606</v>
      </c>
      <c r="J103" s="94"/>
      <c r="K103" s="94"/>
      <c r="L103" s="92">
        <v>4</v>
      </c>
      <c r="M103" s="93">
        <v>4</v>
      </c>
      <c r="N103" s="92">
        <v>4</v>
      </c>
      <c r="O103" s="93">
        <v>4</v>
      </c>
      <c r="P103" s="92">
        <v>5</v>
      </c>
      <c r="Q103" s="93">
        <v>3</v>
      </c>
      <c r="R103" s="92">
        <v>3</v>
      </c>
      <c r="S103" s="93">
        <v>4</v>
      </c>
      <c r="T103" s="92">
        <f t="shared" si="4"/>
        <v>16</v>
      </c>
      <c r="U103" s="95">
        <f t="shared" si="5"/>
        <v>15</v>
      </c>
      <c r="V103" s="67">
        <f t="shared" si="7"/>
        <v>1</v>
      </c>
      <c r="W103" s="67" t="str">
        <f>IF(V103&gt;(MEDIAN(Scoring!V:V)+_xlfn.STDEV.P(Scoring!V:V)),"YES","")</f>
        <v/>
      </c>
      <c r="X103" s="67" t="str">
        <f>IF($W103="YES",VLOOKUP($A103,'Editors Rescore'!$A$2:$M$63,13,FALSE),"")</f>
        <v/>
      </c>
      <c r="Y103" s="81">
        <f t="shared" si="6"/>
        <v>15.5</v>
      </c>
    </row>
    <row r="104" spans="1:25" s="1" customFormat="1" ht="16" customHeight="1" x14ac:dyDescent="0.3">
      <c r="A104" s="122" t="s">
        <v>511</v>
      </c>
      <c r="B104" s="112" t="s">
        <v>512</v>
      </c>
      <c r="C104" s="112" t="s">
        <v>52</v>
      </c>
      <c r="D104" s="4" t="s">
        <v>17</v>
      </c>
      <c r="E104" s="4" t="s">
        <v>18</v>
      </c>
      <c r="F104" s="4">
        <v>31536552</v>
      </c>
      <c r="G104" s="4" t="s">
        <v>611</v>
      </c>
      <c r="H104" s="9" t="s">
        <v>614</v>
      </c>
      <c r="I104" s="4" t="s">
        <v>615</v>
      </c>
      <c r="J104" s="11"/>
      <c r="K104" s="11"/>
      <c r="L104" s="9">
        <v>4</v>
      </c>
      <c r="M104" s="4">
        <v>4</v>
      </c>
      <c r="N104" s="9">
        <v>4</v>
      </c>
      <c r="O104" s="4">
        <v>4</v>
      </c>
      <c r="P104" s="9">
        <v>4</v>
      </c>
      <c r="Q104" s="4">
        <v>4</v>
      </c>
      <c r="R104" s="9">
        <v>4</v>
      </c>
      <c r="S104" s="4">
        <v>3</v>
      </c>
      <c r="T104" s="92">
        <f t="shared" si="4"/>
        <v>16</v>
      </c>
      <c r="U104" s="95">
        <f t="shared" si="5"/>
        <v>15</v>
      </c>
      <c r="V104" s="67">
        <f t="shared" si="7"/>
        <v>1</v>
      </c>
      <c r="W104" s="67" t="str">
        <f>IF(V104&gt;(MEDIAN(Scoring!V:V)+_xlfn.STDEV.P(Scoring!V:V)),"YES","")</f>
        <v/>
      </c>
      <c r="X104" s="67" t="str">
        <f>IF($W104="YES",VLOOKUP($A104,'Editors Rescore'!$A$2:$M$63,13,FALSE),"")</f>
        <v/>
      </c>
      <c r="Y104" s="81">
        <f t="shared" si="6"/>
        <v>15.5</v>
      </c>
    </row>
    <row r="105" spans="1:25" s="1" customFormat="1" ht="16" customHeight="1" x14ac:dyDescent="0.3">
      <c r="A105" s="114" t="s">
        <v>289</v>
      </c>
      <c r="B105" s="142" t="s">
        <v>894</v>
      </c>
      <c r="C105" s="113" t="s">
        <v>154</v>
      </c>
      <c r="D105" s="97" t="s">
        <v>17</v>
      </c>
      <c r="E105" s="93" t="s">
        <v>18</v>
      </c>
      <c r="F105" s="96">
        <v>30479248</v>
      </c>
      <c r="G105" s="93" t="s">
        <v>128</v>
      </c>
      <c r="H105" s="92" t="s">
        <v>607</v>
      </c>
      <c r="I105" s="93" t="s">
        <v>608</v>
      </c>
      <c r="J105" s="94"/>
      <c r="K105" s="94"/>
      <c r="L105" s="92">
        <v>4</v>
      </c>
      <c r="M105" s="93">
        <v>4</v>
      </c>
      <c r="N105" s="92">
        <v>3</v>
      </c>
      <c r="O105" s="93">
        <v>3</v>
      </c>
      <c r="P105" s="92">
        <v>5</v>
      </c>
      <c r="Q105" s="93">
        <v>5</v>
      </c>
      <c r="R105" s="92">
        <v>4</v>
      </c>
      <c r="S105" s="93">
        <v>3</v>
      </c>
      <c r="T105" s="92">
        <f t="shared" si="4"/>
        <v>16</v>
      </c>
      <c r="U105" s="95">
        <f t="shared" si="5"/>
        <v>15</v>
      </c>
      <c r="V105" s="67">
        <f t="shared" si="7"/>
        <v>1</v>
      </c>
      <c r="W105" s="67" t="str">
        <f>IF(V105&gt;(MEDIAN(Scoring!V:V)+_xlfn.STDEV.P(Scoring!V:V)),"YES","")</f>
        <v/>
      </c>
      <c r="X105" s="67" t="str">
        <f>IF($W105="YES",VLOOKUP($A105,'Editors Rescore'!$A$2:$M$63,13,FALSE),"")</f>
        <v/>
      </c>
      <c r="Y105" s="81">
        <f t="shared" si="6"/>
        <v>15.5</v>
      </c>
    </row>
    <row r="106" spans="1:25" s="1" customFormat="1" ht="32.15" customHeight="1" x14ac:dyDescent="0.3">
      <c r="A106" s="114" t="s">
        <v>293</v>
      </c>
      <c r="B106" s="114" t="s">
        <v>356</v>
      </c>
      <c r="C106" s="114" t="s">
        <v>24</v>
      </c>
      <c r="D106" s="93" t="s">
        <v>17</v>
      </c>
      <c r="E106" s="93" t="s">
        <v>18</v>
      </c>
      <c r="F106" s="96">
        <v>31528532</v>
      </c>
      <c r="G106" s="93" t="s">
        <v>128</v>
      </c>
      <c r="H106" s="92" t="s">
        <v>607</v>
      </c>
      <c r="I106" s="93" t="s">
        <v>608</v>
      </c>
      <c r="J106" s="94"/>
      <c r="K106" s="94"/>
      <c r="L106" s="92">
        <v>4</v>
      </c>
      <c r="M106" s="93">
        <v>5</v>
      </c>
      <c r="N106" s="92">
        <v>3</v>
      </c>
      <c r="O106" s="93">
        <v>3</v>
      </c>
      <c r="P106" s="92">
        <v>5</v>
      </c>
      <c r="Q106" s="93">
        <v>5</v>
      </c>
      <c r="R106" s="92">
        <v>3</v>
      </c>
      <c r="S106" s="93">
        <v>3</v>
      </c>
      <c r="T106" s="92">
        <f t="shared" si="4"/>
        <v>15</v>
      </c>
      <c r="U106" s="95">
        <f t="shared" si="5"/>
        <v>16</v>
      </c>
      <c r="V106" s="67">
        <f t="shared" si="7"/>
        <v>1</v>
      </c>
      <c r="W106" s="67" t="str">
        <f>IF(V106&gt;(MEDIAN(Scoring!V:V)+_xlfn.STDEV.P(Scoring!V:V)),"YES","")</f>
        <v/>
      </c>
      <c r="X106" s="67" t="str">
        <f>IF($W106="YES",VLOOKUP($A106,'Editors Rescore'!$A$2:$M$63,13,FALSE),"")</f>
        <v/>
      </c>
      <c r="Y106" s="81">
        <f t="shared" si="6"/>
        <v>15.5</v>
      </c>
    </row>
    <row r="107" spans="1:25" s="1" customFormat="1" ht="16" customHeight="1" x14ac:dyDescent="0.3">
      <c r="A107" s="122" t="s">
        <v>921</v>
      </c>
      <c r="B107" s="112" t="s">
        <v>922</v>
      </c>
      <c r="C107" s="112" t="s">
        <v>509</v>
      </c>
      <c r="D107" s="4" t="s">
        <v>489</v>
      </c>
      <c r="E107" s="4" t="s">
        <v>490</v>
      </c>
      <c r="F107" s="4">
        <v>31613329</v>
      </c>
      <c r="G107" s="4" t="s">
        <v>611</v>
      </c>
      <c r="H107" s="5" t="s">
        <v>613</v>
      </c>
      <c r="I107" s="4" t="s">
        <v>612</v>
      </c>
      <c r="J107" s="11"/>
      <c r="K107" s="11"/>
      <c r="L107" s="6">
        <f>(1+1+1)</f>
        <v>3</v>
      </c>
      <c r="M107" s="4">
        <v>4</v>
      </c>
      <c r="N107" s="6">
        <f>(1+1+1)</f>
        <v>3</v>
      </c>
      <c r="O107" s="4">
        <v>3</v>
      </c>
      <c r="P107" s="6">
        <f>(2+2+1)</f>
        <v>5</v>
      </c>
      <c r="Q107" s="4">
        <v>5</v>
      </c>
      <c r="R107" s="6">
        <f>(1+2+1+1)</f>
        <v>5</v>
      </c>
      <c r="S107" s="4">
        <v>3</v>
      </c>
      <c r="T107" s="92">
        <f t="shared" si="4"/>
        <v>16</v>
      </c>
      <c r="U107" s="95">
        <f t="shared" si="5"/>
        <v>15</v>
      </c>
      <c r="V107" s="67">
        <f t="shared" si="7"/>
        <v>1</v>
      </c>
      <c r="W107" s="67" t="str">
        <f>IF(V107&gt;(MEDIAN(Scoring!V:V)+_xlfn.STDEV.P(Scoring!V:V)),"YES","")</f>
        <v/>
      </c>
      <c r="X107" s="67" t="str">
        <f>IF($W107="YES",VLOOKUP($A107,'Editors Rescore'!$A$2:$M$63,13,FALSE),"")</f>
        <v/>
      </c>
      <c r="Y107" s="81">
        <f t="shared" si="6"/>
        <v>15.5</v>
      </c>
    </row>
    <row r="108" spans="1:25" s="1" customFormat="1" ht="32.15" customHeight="1" x14ac:dyDescent="0.3">
      <c r="A108" s="2" t="s">
        <v>340</v>
      </c>
      <c r="B108" s="121" t="s">
        <v>335</v>
      </c>
      <c r="C108" s="121" t="s">
        <v>334</v>
      </c>
      <c r="D108" s="82" t="s">
        <v>25</v>
      </c>
      <c r="E108" s="68" t="s">
        <v>18</v>
      </c>
      <c r="F108" s="69">
        <v>31432282</v>
      </c>
      <c r="G108" s="68" t="s">
        <v>605</v>
      </c>
      <c r="H108" s="84" t="s">
        <v>626</v>
      </c>
      <c r="I108" s="68" t="s">
        <v>318</v>
      </c>
      <c r="J108" s="72"/>
      <c r="K108" s="72"/>
      <c r="L108" s="84">
        <v>3</v>
      </c>
      <c r="M108" s="68">
        <v>4</v>
      </c>
      <c r="N108" s="84">
        <v>4</v>
      </c>
      <c r="O108" s="68">
        <v>4</v>
      </c>
      <c r="P108" s="84">
        <v>5</v>
      </c>
      <c r="Q108" s="68">
        <v>3</v>
      </c>
      <c r="R108" s="84">
        <v>5</v>
      </c>
      <c r="S108" s="68">
        <v>3</v>
      </c>
      <c r="T108" s="92">
        <f t="shared" si="4"/>
        <v>17</v>
      </c>
      <c r="U108" s="95">
        <f t="shared" si="5"/>
        <v>14</v>
      </c>
      <c r="V108" s="67">
        <f t="shared" si="7"/>
        <v>3</v>
      </c>
      <c r="W108" s="67" t="str">
        <f>IF(V108&gt;(MEDIAN(Scoring!V:V)+_xlfn.STDEV.P(Scoring!V:V)),"YES","")</f>
        <v/>
      </c>
      <c r="X108" s="67" t="str">
        <f>IF($W108="YES",VLOOKUP($A108,'Editors Rescore'!$A$2:$M$63,13,FALSE),"")</f>
        <v/>
      </c>
      <c r="Y108" s="81">
        <f t="shared" si="6"/>
        <v>15.5</v>
      </c>
    </row>
    <row r="109" spans="1:25" s="1" customFormat="1" ht="32.15" customHeight="1" x14ac:dyDescent="0.3">
      <c r="A109" s="122" t="s">
        <v>466</v>
      </c>
      <c r="B109" s="112" t="s">
        <v>934</v>
      </c>
      <c r="C109" s="112" t="s">
        <v>467</v>
      </c>
      <c r="D109" s="4" t="s">
        <v>17</v>
      </c>
      <c r="E109" s="4" t="s">
        <v>18</v>
      </c>
      <c r="F109" s="4">
        <v>31929805</v>
      </c>
      <c r="G109" s="76" t="s">
        <v>616</v>
      </c>
      <c r="H109" s="83" t="s">
        <v>465</v>
      </c>
      <c r="I109" s="76" t="s">
        <v>604</v>
      </c>
      <c r="J109" s="79"/>
      <c r="K109" s="79"/>
      <c r="L109" s="85">
        <v>4</v>
      </c>
      <c r="M109" s="76">
        <v>4</v>
      </c>
      <c r="N109" s="85">
        <v>4</v>
      </c>
      <c r="O109" s="76">
        <v>4</v>
      </c>
      <c r="P109" s="85">
        <v>3</v>
      </c>
      <c r="Q109" s="76">
        <v>5</v>
      </c>
      <c r="R109" s="85">
        <v>4</v>
      </c>
      <c r="S109" s="76">
        <v>3</v>
      </c>
      <c r="T109" s="92">
        <f t="shared" si="4"/>
        <v>15</v>
      </c>
      <c r="U109" s="95">
        <f t="shared" si="5"/>
        <v>16</v>
      </c>
      <c r="V109" s="67">
        <f t="shared" si="7"/>
        <v>1</v>
      </c>
      <c r="W109" s="67" t="str">
        <f>IF(V109&gt;(MEDIAN(Scoring!V:V)+_xlfn.STDEV.P(Scoring!V:V)),"YES","")</f>
        <v/>
      </c>
      <c r="X109" s="67" t="str">
        <f>IF($W109="YES",VLOOKUP($A109,'Editors Rescore'!$A$2:$M$63,13,FALSE),"")</f>
        <v/>
      </c>
      <c r="Y109" s="81">
        <f t="shared" si="6"/>
        <v>15.5</v>
      </c>
    </row>
    <row r="110" spans="1:25" s="1" customFormat="1" ht="16" customHeight="1" x14ac:dyDescent="0.3">
      <c r="A110" s="114" t="s">
        <v>176</v>
      </c>
      <c r="B110" s="144" t="s">
        <v>941</v>
      </c>
      <c r="C110" s="114" t="s">
        <v>177</v>
      </c>
      <c r="D110" s="93" t="s">
        <v>17</v>
      </c>
      <c r="E110" s="93" t="s">
        <v>18</v>
      </c>
      <c r="F110" s="96">
        <v>30864670</v>
      </c>
      <c r="G110" s="93" t="s">
        <v>619</v>
      </c>
      <c r="H110" s="98" t="s">
        <v>623</v>
      </c>
      <c r="I110" s="93" t="s">
        <v>622</v>
      </c>
      <c r="J110" s="94"/>
      <c r="K110" s="94"/>
      <c r="L110" s="98">
        <v>4</v>
      </c>
      <c r="M110" s="93">
        <v>4</v>
      </c>
      <c r="N110" s="98">
        <v>4</v>
      </c>
      <c r="O110" s="93">
        <v>4</v>
      </c>
      <c r="P110" s="98">
        <v>5</v>
      </c>
      <c r="Q110" s="93">
        <v>3</v>
      </c>
      <c r="R110" s="98">
        <v>4</v>
      </c>
      <c r="S110" s="93">
        <v>3</v>
      </c>
      <c r="T110" s="92">
        <f t="shared" si="4"/>
        <v>17</v>
      </c>
      <c r="U110" s="95">
        <f t="shared" si="5"/>
        <v>14</v>
      </c>
      <c r="V110" s="67">
        <f t="shared" si="7"/>
        <v>3</v>
      </c>
      <c r="W110" s="67" t="str">
        <f>IF(V110&gt;(MEDIAN(Scoring!V:V)+_xlfn.STDEV.P(Scoring!V:V)),"YES","")</f>
        <v/>
      </c>
      <c r="X110" s="67" t="str">
        <f>IF($W110="YES",VLOOKUP($A110,'Editors Rescore'!$A$2:$M$63,13,FALSE),"")</f>
        <v/>
      </c>
      <c r="Y110" s="81">
        <f t="shared" si="6"/>
        <v>15.5</v>
      </c>
    </row>
    <row r="111" spans="1:25" s="1" customFormat="1" ht="32.15" customHeight="1" x14ac:dyDescent="0.3">
      <c r="A111" s="129" t="s">
        <v>684</v>
      </c>
      <c r="B111" s="130" t="s">
        <v>685</v>
      </c>
      <c r="C111" s="113" t="s">
        <v>43</v>
      </c>
      <c r="D111" s="104" t="s">
        <v>29</v>
      </c>
      <c r="E111" s="103" t="s">
        <v>19</v>
      </c>
      <c r="F111" s="103">
        <v>30680503</v>
      </c>
      <c r="G111" s="103" t="s">
        <v>616</v>
      </c>
      <c r="H111" s="107" t="s">
        <v>465</v>
      </c>
      <c r="I111" s="103" t="s">
        <v>604</v>
      </c>
      <c r="J111" s="107">
        <v>5</v>
      </c>
      <c r="K111" s="103">
        <v>5</v>
      </c>
      <c r="L111" s="107">
        <v>3</v>
      </c>
      <c r="M111" s="103">
        <v>2</v>
      </c>
      <c r="N111" s="108"/>
      <c r="O111" s="108"/>
      <c r="P111" s="107">
        <v>5</v>
      </c>
      <c r="Q111" s="103">
        <v>4</v>
      </c>
      <c r="R111" s="107">
        <v>4</v>
      </c>
      <c r="S111" s="103">
        <v>1</v>
      </c>
      <c r="T111" s="92">
        <f t="shared" si="4"/>
        <v>17</v>
      </c>
      <c r="U111" s="95">
        <f t="shared" si="5"/>
        <v>12</v>
      </c>
      <c r="V111" s="67">
        <f t="shared" si="7"/>
        <v>5</v>
      </c>
      <c r="W111" s="67" t="str">
        <f>IF(V111&gt;(MEDIAN(Scoring!V:V)+_xlfn.STDEV.P(Scoring!V:V)),"YES","")</f>
        <v>YES</v>
      </c>
      <c r="X111" s="67">
        <f>IF($W111="YES",VLOOKUP($A111,'Editors Rescore'!$A$2:$M$63,13,FALSE),"")</f>
        <v>17</v>
      </c>
      <c r="Y111" s="81">
        <f t="shared" si="6"/>
        <v>15.333333333333334</v>
      </c>
    </row>
    <row r="112" spans="1:25" s="1" customFormat="1" ht="16" customHeight="1" x14ac:dyDescent="0.3">
      <c r="A112" s="114" t="s">
        <v>304</v>
      </c>
      <c r="B112" s="113" t="s">
        <v>211</v>
      </c>
      <c r="C112" s="113" t="s">
        <v>99</v>
      </c>
      <c r="D112" s="97" t="s">
        <v>17</v>
      </c>
      <c r="E112" s="93" t="s">
        <v>18</v>
      </c>
      <c r="F112" s="96">
        <v>30691448</v>
      </c>
      <c r="G112" s="93" t="s">
        <v>611</v>
      </c>
      <c r="H112" s="92" t="s">
        <v>612</v>
      </c>
      <c r="I112" s="93" t="s">
        <v>613</v>
      </c>
      <c r="J112" s="94"/>
      <c r="K112" s="94"/>
      <c r="L112" s="92">
        <v>3</v>
      </c>
      <c r="M112" s="93">
        <v>3</v>
      </c>
      <c r="N112" s="92">
        <v>4</v>
      </c>
      <c r="O112" s="93">
        <v>1</v>
      </c>
      <c r="P112" s="92">
        <v>5</v>
      </c>
      <c r="Q112" s="93">
        <v>4</v>
      </c>
      <c r="R112" s="92">
        <v>5</v>
      </c>
      <c r="S112" s="93">
        <v>4</v>
      </c>
      <c r="T112" s="92">
        <f t="shared" si="4"/>
        <v>17</v>
      </c>
      <c r="U112" s="95">
        <f t="shared" si="5"/>
        <v>12</v>
      </c>
      <c r="V112" s="67">
        <f t="shared" si="7"/>
        <v>5</v>
      </c>
      <c r="W112" s="67" t="str">
        <f>IF(V112&gt;(MEDIAN(Scoring!V:V)+_xlfn.STDEV.P(Scoring!V:V)),"YES","")</f>
        <v>YES</v>
      </c>
      <c r="X112" s="67">
        <f>IF($W112="YES",VLOOKUP($A112,'Editors Rescore'!$A$2:$M$63,13,FALSE),"")</f>
        <v>17</v>
      </c>
      <c r="Y112" s="81">
        <f t="shared" si="6"/>
        <v>15.333333333333334</v>
      </c>
    </row>
    <row r="113" spans="1:25" s="1" customFormat="1" ht="32.15" customHeight="1" x14ac:dyDescent="0.3">
      <c r="A113" s="114" t="s">
        <v>204</v>
      </c>
      <c r="B113" s="113" t="s">
        <v>358</v>
      </c>
      <c r="C113" s="113" t="s">
        <v>205</v>
      </c>
      <c r="D113" s="97" t="s">
        <v>29</v>
      </c>
      <c r="E113" s="93" t="s">
        <v>18</v>
      </c>
      <c r="F113" s="96">
        <v>31268140</v>
      </c>
      <c r="G113" s="97" t="s">
        <v>611</v>
      </c>
      <c r="H113" s="98" t="s">
        <v>613</v>
      </c>
      <c r="I113" s="97" t="s">
        <v>612</v>
      </c>
      <c r="J113" s="99"/>
      <c r="K113" s="99"/>
      <c r="L113" s="98">
        <v>4</v>
      </c>
      <c r="M113" s="97">
        <v>4</v>
      </c>
      <c r="N113" s="98">
        <v>3</v>
      </c>
      <c r="O113" s="97">
        <v>4</v>
      </c>
      <c r="P113" s="98">
        <v>5</v>
      </c>
      <c r="Q113" s="97">
        <v>3</v>
      </c>
      <c r="R113" s="98">
        <v>3</v>
      </c>
      <c r="S113" s="97">
        <v>4</v>
      </c>
      <c r="T113" s="92">
        <f t="shared" si="4"/>
        <v>15</v>
      </c>
      <c r="U113" s="95">
        <f t="shared" si="5"/>
        <v>15</v>
      </c>
      <c r="V113" s="67">
        <f t="shared" si="7"/>
        <v>0</v>
      </c>
      <c r="W113" s="67" t="str">
        <f>IF(V113&gt;(MEDIAN(Scoring!V:V)+_xlfn.STDEV.P(Scoring!V:V)),"YES","")</f>
        <v/>
      </c>
      <c r="X113" s="67" t="str">
        <f>IF($W113="YES",VLOOKUP($A113,'Editors Rescore'!$A$2:$M$63,13,FALSE),"")</f>
        <v/>
      </c>
      <c r="Y113" s="81">
        <f t="shared" si="6"/>
        <v>15</v>
      </c>
    </row>
    <row r="114" spans="1:25" s="1" customFormat="1" ht="48" customHeight="1" x14ac:dyDescent="0.3">
      <c r="A114" s="114" t="s">
        <v>295</v>
      </c>
      <c r="B114" s="128" t="s">
        <v>638</v>
      </c>
      <c r="C114" s="114" t="s">
        <v>147</v>
      </c>
      <c r="D114" s="93" t="s">
        <v>17</v>
      </c>
      <c r="E114" s="93" t="s">
        <v>18</v>
      </c>
      <c r="F114" s="96">
        <v>31329598</v>
      </c>
      <c r="G114" s="97" t="s">
        <v>128</v>
      </c>
      <c r="H114" s="98" t="s">
        <v>608</v>
      </c>
      <c r="I114" s="97" t="s">
        <v>607</v>
      </c>
      <c r="J114" s="99"/>
      <c r="K114" s="99"/>
      <c r="L114" s="98">
        <v>4</v>
      </c>
      <c r="M114" s="97">
        <v>4</v>
      </c>
      <c r="N114" s="98">
        <v>4</v>
      </c>
      <c r="O114" s="97">
        <v>4</v>
      </c>
      <c r="P114" s="98">
        <v>5</v>
      </c>
      <c r="Q114" s="97">
        <v>5</v>
      </c>
      <c r="R114" s="98">
        <v>1</v>
      </c>
      <c r="S114" s="97">
        <v>3</v>
      </c>
      <c r="T114" s="92">
        <f t="shared" si="4"/>
        <v>14</v>
      </c>
      <c r="U114" s="95">
        <f t="shared" si="5"/>
        <v>16</v>
      </c>
      <c r="V114" s="67">
        <f t="shared" si="7"/>
        <v>2</v>
      </c>
      <c r="W114" s="67" t="str">
        <f>IF(V114&gt;(MEDIAN(Scoring!V:V)+_xlfn.STDEV.P(Scoring!V:V)),"YES","")</f>
        <v/>
      </c>
      <c r="X114" s="67" t="str">
        <f>IF($W114="YES",VLOOKUP($A114,'Editors Rescore'!$A$2:$M$63,13,FALSE),"")</f>
        <v/>
      </c>
      <c r="Y114" s="81">
        <f t="shared" si="6"/>
        <v>15</v>
      </c>
    </row>
    <row r="115" spans="1:25" s="1" customFormat="1" ht="32.15" customHeight="1" x14ac:dyDescent="0.3">
      <c r="A115" s="114" t="s">
        <v>296</v>
      </c>
      <c r="B115" s="128" t="s">
        <v>297</v>
      </c>
      <c r="C115" s="114" t="s">
        <v>298</v>
      </c>
      <c r="D115" s="93" t="s">
        <v>17</v>
      </c>
      <c r="E115" s="93" t="s">
        <v>18</v>
      </c>
      <c r="F115" s="96">
        <v>31006636</v>
      </c>
      <c r="G115" s="97" t="s">
        <v>128</v>
      </c>
      <c r="H115" s="98" t="s">
        <v>608</v>
      </c>
      <c r="I115" s="97" t="s">
        <v>607</v>
      </c>
      <c r="J115" s="99"/>
      <c r="K115" s="99"/>
      <c r="L115" s="98">
        <v>4</v>
      </c>
      <c r="M115" s="97">
        <v>4</v>
      </c>
      <c r="N115" s="98">
        <v>4</v>
      </c>
      <c r="O115" s="97">
        <v>4</v>
      </c>
      <c r="P115" s="98">
        <v>5</v>
      </c>
      <c r="Q115" s="97">
        <v>4</v>
      </c>
      <c r="R115" s="98">
        <v>3</v>
      </c>
      <c r="S115" s="97">
        <v>2</v>
      </c>
      <c r="T115" s="92">
        <f t="shared" si="4"/>
        <v>16</v>
      </c>
      <c r="U115" s="95">
        <f t="shared" si="5"/>
        <v>14</v>
      </c>
      <c r="V115" s="67">
        <f t="shared" si="7"/>
        <v>2</v>
      </c>
      <c r="W115" s="67" t="str">
        <f>IF(V115&gt;(MEDIAN(Scoring!V:V)+_xlfn.STDEV.P(Scoring!V:V)),"YES","")</f>
        <v/>
      </c>
      <c r="X115" s="67" t="str">
        <f>IF($W115="YES",VLOOKUP($A115,'Editors Rescore'!$A$2:$M$63,13,FALSE),"")</f>
        <v/>
      </c>
      <c r="Y115" s="81">
        <f t="shared" si="6"/>
        <v>15</v>
      </c>
    </row>
    <row r="116" spans="1:25" s="1" customFormat="1" ht="32.15" customHeight="1" x14ac:dyDescent="0.3">
      <c r="A116" s="114" t="s">
        <v>115</v>
      </c>
      <c r="B116" s="130" t="s">
        <v>666</v>
      </c>
      <c r="C116" s="113" t="s">
        <v>116</v>
      </c>
      <c r="D116" s="97" t="s">
        <v>17</v>
      </c>
      <c r="E116" s="93" t="s">
        <v>18</v>
      </c>
      <c r="F116" s="96">
        <v>30759187</v>
      </c>
      <c r="G116" s="93" t="s">
        <v>619</v>
      </c>
      <c r="H116" s="92" t="s">
        <v>620</v>
      </c>
      <c r="I116" s="93" t="s">
        <v>621</v>
      </c>
      <c r="J116" s="94"/>
      <c r="K116" s="94"/>
      <c r="L116" s="92">
        <v>4</v>
      </c>
      <c r="M116" s="93">
        <v>4</v>
      </c>
      <c r="N116" s="92">
        <v>3</v>
      </c>
      <c r="O116" s="93">
        <v>4</v>
      </c>
      <c r="P116" s="92">
        <v>4</v>
      </c>
      <c r="Q116" s="93">
        <v>4</v>
      </c>
      <c r="R116" s="92">
        <v>5</v>
      </c>
      <c r="S116" s="93">
        <v>2</v>
      </c>
      <c r="T116" s="92">
        <f t="shared" si="4"/>
        <v>16</v>
      </c>
      <c r="U116" s="95">
        <f t="shared" si="5"/>
        <v>14</v>
      </c>
      <c r="V116" s="67">
        <f t="shared" si="7"/>
        <v>2</v>
      </c>
      <c r="W116" s="67" t="str">
        <f>IF(V116&gt;(MEDIAN(Scoring!V:V)+_xlfn.STDEV.P(Scoring!V:V)),"YES","")</f>
        <v/>
      </c>
      <c r="X116" s="67" t="str">
        <f>IF($W116="YES",VLOOKUP($A116,'Editors Rescore'!$A$2:$M$63,13,FALSE),"")</f>
        <v/>
      </c>
      <c r="Y116" s="81">
        <f t="shared" si="6"/>
        <v>15</v>
      </c>
    </row>
    <row r="117" spans="1:25" s="1" customFormat="1" ht="16" customHeight="1" x14ac:dyDescent="0.3">
      <c r="A117" s="122" t="s">
        <v>532</v>
      </c>
      <c r="B117" s="115" t="s">
        <v>667</v>
      </c>
      <c r="C117" s="115" t="s">
        <v>225</v>
      </c>
      <c r="D117" s="76" t="s">
        <v>17</v>
      </c>
      <c r="E117" s="4" t="s">
        <v>18</v>
      </c>
      <c r="F117" s="4">
        <v>31006000</v>
      </c>
      <c r="G117" s="4" t="s">
        <v>605</v>
      </c>
      <c r="H117" s="77" t="s">
        <v>626</v>
      </c>
      <c r="I117" s="4" t="s">
        <v>318</v>
      </c>
      <c r="J117" s="11"/>
      <c r="K117" s="11"/>
      <c r="L117" s="77">
        <v>4</v>
      </c>
      <c r="M117" s="4">
        <v>4</v>
      </c>
      <c r="N117" s="77">
        <v>3</v>
      </c>
      <c r="O117" s="4">
        <v>4</v>
      </c>
      <c r="P117" s="77">
        <v>3</v>
      </c>
      <c r="Q117" s="4">
        <v>4</v>
      </c>
      <c r="R117" s="77">
        <v>2</v>
      </c>
      <c r="S117" s="4">
        <v>4</v>
      </c>
      <c r="T117" s="92">
        <f t="shared" si="4"/>
        <v>12</v>
      </c>
      <c r="U117" s="95">
        <f t="shared" si="5"/>
        <v>16</v>
      </c>
      <c r="V117" s="67">
        <f t="shared" si="7"/>
        <v>4</v>
      </c>
      <c r="W117" s="67" t="str">
        <f>IF(V117&gt;(MEDIAN(Scoring!V:V)+_xlfn.STDEV.P(Scoring!V:V)),"YES","")</f>
        <v>YES</v>
      </c>
      <c r="X117" s="67">
        <f>IF($W117="YES",VLOOKUP($A117,'Editors Rescore'!$A$2:$M$63,13,FALSE),"")</f>
        <v>17</v>
      </c>
      <c r="Y117" s="81">
        <f t="shared" si="6"/>
        <v>15</v>
      </c>
    </row>
    <row r="118" spans="1:25" s="1" customFormat="1" ht="32.15" customHeight="1" x14ac:dyDescent="0.3">
      <c r="A118" s="114" t="s">
        <v>281</v>
      </c>
      <c r="B118" s="114" t="s">
        <v>282</v>
      </c>
      <c r="C118" s="114" t="s">
        <v>24</v>
      </c>
      <c r="D118" s="93" t="s">
        <v>25</v>
      </c>
      <c r="E118" s="93" t="s">
        <v>18</v>
      </c>
      <c r="F118" s="96">
        <v>30873348</v>
      </c>
      <c r="G118" s="97" t="s">
        <v>128</v>
      </c>
      <c r="H118" s="98" t="s">
        <v>607</v>
      </c>
      <c r="I118" s="97" t="s">
        <v>608</v>
      </c>
      <c r="J118" s="99"/>
      <c r="K118" s="99"/>
      <c r="L118" s="98">
        <v>5</v>
      </c>
      <c r="M118" s="97">
        <v>4</v>
      </c>
      <c r="N118" s="98">
        <v>4</v>
      </c>
      <c r="O118" s="97">
        <v>4</v>
      </c>
      <c r="P118" s="98">
        <v>5</v>
      </c>
      <c r="Q118" s="97">
        <v>5</v>
      </c>
      <c r="R118" s="98">
        <v>2</v>
      </c>
      <c r="S118" s="97">
        <v>1</v>
      </c>
      <c r="T118" s="92">
        <f t="shared" si="4"/>
        <v>16</v>
      </c>
      <c r="U118" s="95">
        <f t="shared" si="5"/>
        <v>14</v>
      </c>
      <c r="V118" s="67">
        <f t="shared" si="7"/>
        <v>2</v>
      </c>
      <c r="W118" s="67" t="str">
        <f>IF(V118&gt;(MEDIAN(Scoring!V:V)+_xlfn.STDEV.P(Scoring!V:V)),"YES","")</f>
        <v/>
      </c>
      <c r="X118" s="67" t="str">
        <f>IF($W118="YES",VLOOKUP($A118,'Editors Rescore'!$A$2:$M$63,13,FALSE),"")</f>
        <v/>
      </c>
      <c r="Y118" s="81">
        <f t="shared" si="6"/>
        <v>15</v>
      </c>
    </row>
    <row r="119" spans="1:25" s="1" customFormat="1" ht="32.15" customHeight="1" x14ac:dyDescent="0.3">
      <c r="A119" s="122" t="s">
        <v>551</v>
      </c>
      <c r="B119" s="112" t="s">
        <v>681</v>
      </c>
      <c r="C119" s="112" t="s">
        <v>33</v>
      </c>
      <c r="D119" s="4" t="s">
        <v>29</v>
      </c>
      <c r="E119" s="4" t="s">
        <v>19</v>
      </c>
      <c r="F119" s="8">
        <v>31818343</v>
      </c>
      <c r="G119" s="76" t="s">
        <v>128</v>
      </c>
      <c r="H119" s="83" t="s">
        <v>610</v>
      </c>
      <c r="I119" s="76" t="s">
        <v>609</v>
      </c>
      <c r="J119" s="85">
        <v>5</v>
      </c>
      <c r="K119" s="76">
        <v>4</v>
      </c>
      <c r="L119" s="85">
        <v>3</v>
      </c>
      <c r="M119" s="76">
        <v>3</v>
      </c>
      <c r="N119" s="79"/>
      <c r="O119" s="79"/>
      <c r="P119" s="85">
        <v>5</v>
      </c>
      <c r="Q119" s="76">
        <v>5</v>
      </c>
      <c r="R119" s="85">
        <v>3</v>
      </c>
      <c r="S119" s="76">
        <v>2</v>
      </c>
      <c r="T119" s="92">
        <f t="shared" si="4"/>
        <v>16</v>
      </c>
      <c r="U119" s="95">
        <f t="shared" si="5"/>
        <v>14</v>
      </c>
      <c r="V119" s="67">
        <f t="shared" si="7"/>
        <v>2</v>
      </c>
      <c r="W119" s="67" t="str">
        <f>IF(V119&gt;(MEDIAN(Scoring!V:V)+_xlfn.STDEV.P(Scoring!V:V)),"YES","")</f>
        <v/>
      </c>
      <c r="X119" s="67" t="str">
        <f>IF($W119="YES",VLOOKUP($A119,'Editors Rescore'!$A$2:$M$63,13,FALSE),"")</f>
        <v/>
      </c>
      <c r="Y119" s="81">
        <f t="shared" si="6"/>
        <v>15</v>
      </c>
    </row>
    <row r="120" spans="1:25" s="1" customFormat="1" ht="16" customHeight="1" x14ac:dyDescent="0.3">
      <c r="A120" s="122" t="s">
        <v>683</v>
      </c>
      <c r="B120" s="112" t="s">
        <v>682</v>
      </c>
      <c r="C120" s="112" t="s">
        <v>568</v>
      </c>
      <c r="D120" s="4" t="s">
        <v>17</v>
      </c>
      <c r="E120" s="4" t="s">
        <v>19</v>
      </c>
      <c r="F120" s="4">
        <v>31742673</v>
      </c>
      <c r="G120" s="4" t="s">
        <v>616</v>
      </c>
      <c r="H120" s="5" t="s">
        <v>465</v>
      </c>
      <c r="I120" s="4" t="s">
        <v>604</v>
      </c>
      <c r="J120" s="5">
        <v>5</v>
      </c>
      <c r="K120" s="4">
        <v>5</v>
      </c>
      <c r="L120" s="5">
        <v>5</v>
      </c>
      <c r="M120" s="4">
        <v>5</v>
      </c>
      <c r="N120" s="11"/>
      <c r="O120" s="11"/>
      <c r="P120" s="5">
        <v>4</v>
      </c>
      <c r="Q120" s="4">
        <v>5</v>
      </c>
      <c r="R120" s="5">
        <v>0</v>
      </c>
      <c r="S120" s="4">
        <v>1</v>
      </c>
      <c r="T120" s="92">
        <f t="shared" si="4"/>
        <v>14</v>
      </c>
      <c r="U120" s="95">
        <f t="shared" si="5"/>
        <v>16</v>
      </c>
      <c r="V120" s="67">
        <f t="shared" si="7"/>
        <v>2</v>
      </c>
      <c r="W120" s="67" t="str">
        <f>IF(V120&gt;(MEDIAN(Scoring!V:V)+_xlfn.STDEV.P(Scoring!V:V)),"YES","")</f>
        <v/>
      </c>
      <c r="X120" s="67" t="str">
        <f>IF($W120="YES",VLOOKUP($A120,'Editors Rescore'!$A$2:$M$63,13,FALSE),"")</f>
        <v/>
      </c>
      <c r="Y120" s="81">
        <f t="shared" si="6"/>
        <v>15</v>
      </c>
    </row>
    <row r="121" spans="1:25" s="1" customFormat="1" ht="16" customHeight="1" x14ac:dyDescent="0.3">
      <c r="A121" s="114" t="s">
        <v>267</v>
      </c>
      <c r="B121" s="114" t="s">
        <v>268</v>
      </c>
      <c r="C121" s="114" t="s">
        <v>269</v>
      </c>
      <c r="D121" s="93" t="s">
        <v>17</v>
      </c>
      <c r="E121" s="93" t="s">
        <v>18</v>
      </c>
      <c r="F121" s="96">
        <v>30632712</v>
      </c>
      <c r="G121" s="97" t="s">
        <v>128</v>
      </c>
      <c r="H121" s="98" t="s">
        <v>610</v>
      </c>
      <c r="I121" s="97" t="s">
        <v>609</v>
      </c>
      <c r="J121" s="99"/>
      <c r="K121" s="99"/>
      <c r="L121" s="98">
        <v>5</v>
      </c>
      <c r="M121" s="97">
        <v>4</v>
      </c>
      <c r="N121" s="98">
        <v>3</v>
      </c>
      <c r="O121" s="97">
        <v>3</v>
      </c>
      <c r="P121" s="98">
        <v>5</v>
      </c>
      <c r="Q121" s="97">
        <v>5</v>
      </c>
      <c r="R121" s="98">
        <v>2</v>
      </c>
      <c r="S121" s="97">
        <v>3</v>
      </c>
      <c r="T121" s="92">
        <f t="shared" si="4"/>
        <v>15</v>
      </c>
      <c r="U121" s="95">
        <f t="shared" si="5"/>
        <v>15</v>
      </c>
      <c r="V121" s="67">
        <f t="shared" si="7"/>
        <v>0</v>
      </c>
      <c r="W121" s="67" t="str">
        <f>IF(V121&gt;(MEDIAN(Scoring!V:V)+_xlfn.STDEV.P(Scoring!V:V)),"YES","")</f>
        <v/>
      </c>
      <c r="X121" s="67" t="str">
        <f>IF($W121="YES",VLOOKUP($A121,'Editors Rescore'!$A$2:$M$63,13,FALSE),"")</f>
        <v/>
      </c>
      <c r="Y121" s="81">
        <f t="shared" si="6"/>
        <v>15</v>
      </c>
    </row>
    <row r="122" spans="1:25" s="1" customFormat="1" ht="32.15" customHeight="1" x14ac:dyDescent="0.3">
      <c r="A122" s="123" t="s">
        <v>141</v>
      </c>
      <c r="B122" s="115" t="s">
        <v>752</v>
      </c>
      <c r="C122" s="115" t="s">
        <v>72</v>
      </c>
      <c r="D122" s="76" t="s">
        <v>29</v>
      </c>
      <c r="E122" s="4" t="s">
        <v>19</v>
      </c>
      <c r="F122" s="4">
        <v>31266840</v>
      </c>
      <c r="G122" s="4" t="s">
        <v>611</v>
      </c>
      <c r="H122" s="9" t="s">
        <v>613</v>
      </c>
      <c r="I122" s="4" t="s">
        <v>612</v>
      </c>
      <c r="J122" s="9">
        <v>5</v>
      </c>
      <c r="K122" s="4">
        <v>5</v>
      </c>
      <c r="L122" s="9">
        <v>3</v>
      </c>
      <c r="M122" s="4">
        <v>2</v>
      </c>
      <c r="N122" s="11"/>
      <c r="O122" s="11"/>
      <c r="P122" s="9">
        <v>4</v>
      </c>
      <c r="Q122" s="4">
        <v>4</v>
      </c>
      <c r="R122" s="9">
        <v>4</v>
      </c>
      <c r="S122" s="4">
        <v>3</v>
      </c>
      <c r="T122" s="92">
        <f t="shared" si="4"/>
        <v>16</v>
      </c>
      <c r="U122" s="95">
        <f t="shared" si="5"/>
        <v>14</v>
      </c>
      <c r="V122" s="67">
        <f t="shared" si="7"/>
        <v>2</v>
      </c>
      <c r="W122" s="67" t="str">
        <f>IF(V122&gt;(MEDIAN(Scoring!V:V)+_xlfn.STDEV.P(Scoring!V:V)),"YES","")</f>
        <v/>
      </c>
      <c r="X122" s="67" t="str">
        <f>IF($W122="YES",VLOOKUP($A122,'Editors Rescore'!$A$2:$M$63,13,FALSE),"")</f>
        <v/>
      </c>
      <c r="Y122" s="81">
        <f t="shared" si="6"/>
        <v>15</v>
      </c>
    </row>
    <row r="123" spans="1:25" s="1" customFormat="1" ht="32.15" customHeight="1" x14ac:dyDescent="0.3">
      <c r="A123" s="122" t="s">
        <v>776</v>
      </c>
      <c r="B123" s="115" t="s">
        <v>775</v>
      </c>
      <c r="C123" s="115" t="s">
        <v>491</v>
      </c>
      <c r="D123" s="76" t="s">
        <v>492</v>
      </c>
      <c r="E123" s="4" t="s">
        <v>490</v>
      </c>
      <c r="F123" s="4">
        <v>31910503</v>
      </c>
      <c r="G123" s="76" t="s">
        <v>611</v>
      </c>
      <c r="H123" s="83" t="s">
        <v>612</v>
      </c>
      <c r="I123" s="76" t="s">
        <v>613</v>
      </c>
      <c r="J123" s="79"/>
      <c r="K123" s="79"/>
      <c r="L123" s="85">
        <v>3</v>
      </c>
      <c r="M123" s="76">
        <f>(1+1+1)</f>
        <v>3</v>
      </c>
      <c r="N123" s="85">
        <v>3</v>
      </c>
      <c r="O123" s="76">
        <f>(2+0+1)</f>
        <v>3</v>
      </c>
      <c r="P123" s="85">
        <v>5</v>
      </c>
      <c r="Q123" s="76">
        <f>(2+2+1)</f>
        <v>5</v>
      </c>
      <c r="R123" s="85">
        <v>4</v>
      </c>
      <c r="S123" s="76">
        <f>(1+2+0+1)</f>
        <v>4</v>
      </c>
      <c r="T123" s="92">
        <f t="shared" si="4"/>
        <v>15</v>
      </c>
      <c r="U123" s="95">
        <f t="shared" si="5"/>
        <v>15</v>
      </c>
      <c r="V123" s="67">
        <f t="shared" si="7"/>
        <v>0</v>
      </c>
      <c r="W123" s="67" t="str">
        <f>IF(V123&gt;(MEDIAN(Scoring!V:V)+_xlfn.STDEV.P(Scoring!V:V)),"YES","")</f>
        <v/>
      </c>
      <c r="X123" s="67" t="str">
        <f>IF($W123="YES",VLOOKUP($A123,'Editors Rescore'!$A$2:$M$63,13,FALSE),"")</f>
        <v/>
      </c>
      <c r="Y123" s="81">
        <f t="shared" si="6"/>
        <v>15</v>
      </c>
    </row>
    <row r="124" spans="1:25" s="1" customFormat="1" ht="16" customHeight="1" x14ac:dyDescent="0.3">
      <c r="A124" s="123" t="s">
        <v>48</v>
      </c>
      <c r="B124" s="136" t="s">
        <v>832</v>
      </c>
      <c r="C124" s="114" t="s">
        <v>49</v>
      </c>
      <c r="D124" s="103" t="s">
        <v>17</v>
      </c>
      <c r="E124" s="103" t="s">
        <v>19</v>
      </c>
      <c r="F124" s="103">
        <v>29730224</v>
      </c>
      <c r="G124" s="103" t="s">
        <v>619</v>
      </c>
      <c r="H124" s="105" t="s">
        <v>622</v>
      </c>
      <c r="I124" s="103" t="s">
        <v>623</v>
      </c>
      <c r="J124" s="107">
        <v>5</v>
      </c>
      <c r="K124" s="103">
        <v>4</v>
      </c>
      <c r="L124" s="105">
        <v>2</v>
      </c>
      <c r="M124" s="103">
        <v>2</v>
      </c>
      <c r="N124" s="106"/>
      <c r="O124" s="108"/>
      <c r="P124" s="105">
        <v>5</v>
      </c>
      <c r="Q124" s="103">
        <v>5</v>
      </c>
      <c r="R124" s="105">
        <v>2</v>
      </c>
      <c r="S124" s="103">
        <v>5</v>
      </c>
      <c r="T124" s="92">
        <f t="shared" si="4"/>
        <v>14</v>
      </c>
      <c r="U124" s="95">
        <f t="shared" si="5"/>
        <v>16</v>
      </c>
      <c r="V124" s="67">
        <f t="shared" si="7"/>
        <v>2</v>
      </c>
      <c r="W124" s="67" t="str">
        <f>IF(V124&gt;(MEDIAN(Scoring!V:V)+_xlfn.STDEV.P(Scoring!V:V)),"YES","")</f>
        <v/>
      </c>
      <c r="X124" s="67" t="str">
        <f>IF($W124="YES",VLOOKUP($A124,'Editors Rescore'!$A$2:$M$63,13,FALSE),"")</f>
        <v/>
      </c>
      <c r="Y124" s="81">
        <f t="shared" si="6"/>
        <v>15</v>
      </c>
    </row>
    <row r="125" spans="1:25" s="1" customFormat="1" ht="16" customHeight="1" x14ac:dyDescent="0.3">
      <c r="A125" s="136" t="s">
        <v>843</v>
      </c>
      <c r="B125" s="113" t="s">
        <v>236</v>
      </c>
      <c r="C125" s="113" t="s">
        <v>313</v>
      </c>
      <c r="D125" s="97" t="s">
        <v>17</v>
      </c>
      <c r="E125" s="93" t="s">
        <v>18</v>
      </c>
      <c r="F125" s="96">
        <v>30766443</v>
      </c>
      <c r="G125" s="93" t="s">
        <v>616</v>
      </c>
      <c r="H125" s="92" t="s">
        <v>465</v>
      </c>
      <c r="I125" s="93" t="s">
        <v>604</v>
      </c>
      <c r="J125" s="94"/>
      <c r="K125" s="94"/>
      <c r="L125" s="92">
        <v>4</v>
      </c>
      <c r="M125" s="93">
        <v>4</v>
      </c>
      <c r="N125" s="92">
        <v>4</v>
      </c>
      <c r="O125" s="93">
        <v>4</v>
      </c>
      <c r="P125" s="92">
        <v>5</v>
      </c>
      <c r="Q125" s="93">
        <v>5</v>
      </c>
      <c r="R125" s="92">
        <v>1</v>
      </c>
      <c r="S125" s="93">
        <v>3</v>
      </c>
      <c r="T125" s="92">
        <f t="shared" si="4"/>
        <v>14</v>
      </c>
      <c r="U125" s="95">
        <f t="shared" si="5"/>
        <v>16</v>
      </c>
      <c r="V125" s="67">
        <f t="shared" si="7"/>
        <v>2</v>
      </c>
      <c r="W125" s="67" t="str">
        <f>IF(V125&gt;(MEDIAN(Scoring!V:V)+_xlfn.STDEV.P(Scoring!V:V)),"YES","")</f>
        <v/>
      </c>
      <c r="X125" s="67" t="str">
        <f>IF($W125="YES",VLOOKUP($A125,'Editors Rescore'!$A$2:$M$63,13,FALSE),"")</f>
        <v/>
      </c>
      <c r="Y125" s="81">
        <f t="shared" si="6"/>
        <v>15</v>
      </c>
    </row>
    <row r="126" spans="1:25" s="1" customFormat="1" ht="16" customHeight="1" x14ac:dyDescent="0.3">
      <c r="A126" s="114" t="s">
        <v>240</v>
      </c>
      <c r="B126" s="137" t="s">
        <v>864</v>
      </c>
      <c r="C126" s="113" t="s">
        <v>116</v>
      </c>
      <c r="D126" s="97" t="s">
        <v>17</v>
      </c>
      <c r="E126" s="93" t="s">
        <v>18</v>
      </c>
      <c r="F126" s="96">
        <v>31313805</v>
      </c>
      <c r="G126" s="93" t="s">
        <v>616</v>
      </c>
      <c r="H126" s="92" t="s">
        <v>604</v>
      </c>
      <c r="I126" s="93" t="s">
        <v>465</v>
      </c>
      <c r="J126" s="94"/>
      <c r="K126" s="94"/>
      <c r="L126" s="92">
        <v>5</v>
      </c>
      <c r="M126" s="93">
        <v>4</v>
      </c>
      <c r="N126" s="92">
        <v>1</v>
      </c>
      <c r="O126" s="93">
        <v>3</v>
      </c>
      <c r="P126" s="92">
        <v>3</v>
      </c>
      <c r="Q126" s="93">
        <v>5</v>
      </c>
      <c r="R126" s="92">
        <v>5</v>
      </c>
      <c r="S126" s="93">
        <v>4</v>
      </c>
      <c r="T126" s="92">
        <f t="shared" si="4"/>
        <v>14</v>
      </c>
      <c r="U126" s="95">
        <f t="shared" si="5"/>
        <v>16</v>
      </c>
      <c r="V126" s="67">
        <f t="shared" si="7"/>
        <v>2</v>
      </c>
      <c r="W126" s="67" t="str">
        <f>IF(V126&gt;(MEDIAN(Scoring!V:V)+_xlfn.STDEV.P(Scoring!V:V)),"YES","")</f>
        <v/>
      </c>
      <c r="X126" s="67" t="str">
        <f>IF($W126="YES",VLOOKUP($A126,'Editors Rescore'!$A$2:$M$63,13,FALSE),"")</f>
        <v/>
      </c>
      <c r="Y126" s="81">
        <f t="shared" si="6"/>
        <v>15</v>
      </c>
    </row>
    <row r="127" spans="1:25" s="1" customFormat="1" ht="16" customHeight="1" x14ac:dyDescent="0.3">
      <c r="A127" s="124" t="s">
        <v>431</v>
      </c>
      <c r="B127" s="115" t="s">
        <v>873</v>
      </c>
      <c r="C127" s="120" t="s">
        <v>432</v>
      </c>
      <c r="D127" s="76" t="s">
        <v>17</v>
      </c>
      <c r="E127" s="4" t="s">
        <v>18</v>
      </c>
      <c r="F127" s="8">
        <v>31755195</v>
      </c>
      <c r="G127" s="76" t="s">
        <v>619</v>
      </c>
      <c r="H127" s="83" t="s">
        <v>622</v>
      </c>
      <c r="I127" s="76" t="s">
        <v>623</v>
      </c>
      <c r="J127" s="79"/>
      <c r="K127" s="79"/>
      <c r="L127" s="85">
        <v>4</v>
      </c>
      <c r="M127" s="76">
        <v>4</v>
      </c>
      <c r="N127" s="85">
        <v>4</v>
      </c>
      <c r="O127" s="76">
        <v>3</v>
      </c>
      <c r="P127" s="85">
        <v>4</v>
      </c>
      <c r="Q127" s="76">
        <v>3</v>
      </c>
      <c r="R127" s="85">
        <v>4</v>
      </c>
      <c r="S127" s="76">
        <v>4</v>
      </c>
      <c r="T127" s="92">
        <f t="shared" si="4"/>
        <v>16</v>
      </c>
      <c r="U127" s="95">
        <f t="shared" si="5"/>
        <v>14</v>
      </c>
      <c r="V127" s="67">
        <f t="shared" si="7"/>
        <v>2</v>
      </c>
      <c r="W127" s="67" t="str">
        <f>IF(V127&gt;(MEDIAN(Scoring!V:V)+_xlfn.STDEV.P(Scoring!V:V)),"YES","")</f>
        <v/>
      </c>
      <c r="X127" s="67" t="str">
        <f>IF($W127="YES",VLOOKUP($A127,'Editors Rescore'!$A$2:$M$63,13,FALSE),"")</f>
        <v/>
      </c>
      <c r="Y127" s="81">
        <f t="shared" si="6"/>
        <v>15</v>
      </c>
    </row>
    <row r="128" spans="1:25" s="1" customFormat="1" ht="16" customHeight="1" x14ac:dyDescent="0.3">
      <c r="A128" s="122" t="s">
        <v>30</v>
      </c>
      <c r="B128" s="117" t="s">
        <v>31</v>
      </c>
      <c r="C128" s="113" t="s">
        <v>32</v>
      </c>
      <c r="D128" s="74" t="s">
        <v>29</v>
      </c>
      <c r="E128" s="4" t="s">
        <v>18</v>
      </c>
      <c r="F128" s="96">
        <v>30992631</v>
      </c>
      <c r="G128" s="4" t="s">
        <v>624</v>
      </c>
      <c r="H128" s="5" t="s">
        <v>625</v>
      </c>
      <c r="I128" s="4" t="s">
        <v>366</v>
      </c>
      <c r="J128" s="11"/>
      <c r="K128" s="11"/>
      <c r="L128" s="6">
        <v>4</v>
      </c>
      <c r="M128" s="4">
        <v>4</v>
      </c>
      <c r="N128" s="6">
        <v>4</v>
      </c>
      <c r="O128" s="4">
        <v>3</v>
      </c>
      <c r="P128" s="6">
        <v>4</v>
      </c>
      <c r="Q128" s="4">
        <v>3</v>
      </c>
      <c r="R128" s="6">
        <v>4</v>
      </c>
      <c r="S128" s="4">
        <v>4</v>
      </c>
      <c r="T128" s="92">
        <f t="shared" si="4"/>
        <v>16</v>
      </c>
      <c r="U128" s="95">
        <f t="shared" si="5"/>
        <v>14</v>
      </c>
      <c r="V128" s="67">
        <f t="shared" si="7"/>
        <v>2</v>
      </c>
      <c r="W128" s="67" t="str">
        <f>IF(V128&gt;(MEDIAN(Scoring!V:V)+_xlfn.STDEV.P(Scoring!V:V)),"YES","")</f>
        <v/>
      </c>
      <c r="X128" s="67" t="str">
        <f>IF($W128="YES",VLOOKUP($A128,'Editors Rescore'!$A$2:$M$63,13,FALSE),"")</f>
        <v/>
      </c>
      <c r="Y128" s="81">
        <f t="shared" si="6"/>
        <v>15</v>
      </c>
    </row>
    <row r="129" spans="1:25" s="1" customFormat="1" ht="32.15" customHeight="1" x14ac:dyDescent="0.3">
      <c r="A129" s="2" t="s">
        <v>189</v>
      </c>
      <c r="B129" s="121" t="s">
        <v>901</v>
      </c>
      <c r="C129" s="121" t="s">
        <v>190</v>
      </c>
      <c r="D129" s="82" t="s">
        <v>25</v>
      </c>
      <c r="E129" s="68" t="s">
        <v>18</v>
      </c>
      <c r="F129" s="69">
        <v>30904246</v>
      </c>
      <c r="G129" s="68" t="s">
        <v>611</v>
      </c>
      <c r="H129" s="92" t="s">
        <v>614</v>
      </c>
      <c r="I129" s="93" t="s">
        <v>615</v>
      </c>
      <c r="J129" s="94"/>
      <c r="K129" s="94"/>
      <c r="L129" s="70">
        <v>3</v>
      </c>
      <c r="M129" s="68">
        <v>3</v>
      </c>
      <c r="N129" s="70">
        <v>3</v>
      </c>
      <c r="O129" s="68">
        <v>4</v>
      </c>
      <c r="P129" s="70">
        <v>4</v>
      </c>
      <c r="Q129" s="68">
        <v>4</v>
      </c>
      <c r="R129" s="70">
        <v>4</v>
      </c>
      <c r="S129" s="93">
        <v>5</v>
      </c>
      <c r="T129" s="92">
        <f t="shared" si="4"/>
        <v>14</v>
      </c>
      <c r="U129" s="95">
        <f t="shared" si="5"/>
        <v>16</v>
      </c>
      <c r="V129" s="67">
        <f t="shared" si="7"/>
        <v>2</v>
      </c>
      <c r="W129" s="67" t="str">
        <f>IF(V129&gt;(MEDIAN(Scoring!V:V)+_xlfn.STDEV.P(Scoring!V:V)),"YES","")</f>
        <v/>
      </c>
      <c r="X129" s="67" t="str">
        <f>IF($W129="YES",VLOOKUP($A129,'Editors Rescore'!$A$2:$M$63,13,FALSE),"")</f>
        <v/>
      </c>
      <c r="Y129" s="81">
        <f t="shared" si="6"/>
        <v>15</v>
      </c>
    </row>
    <row r="130" spans="1:25" s="1" customFormat="1" ht="16" customHeight="1" x14ac:dyDescent="0.3">
      <c r="A130" s="122" t="s">
        <v>416</v>
      </c>
      <c r="B130" s="115" t="s">
        <v>417</v>
      </c>
      <c r="C130" s="115" t="s">
        <v>52</v>
      </c>
      <c r="D130" s="76" t="s">
        <v>17</v>
      </c>
      <c r="E130" s="4" t="s">
        <v>18</v>
      </c>
      <c r="F130" s="4">
        <v>31596907</v>
      </c>
      <c r="G130" s="4" t="s">
        <v>128</v>
      </c>
      <c r="H130" s="5" t="s">
        <v>607</v>
      </c>
      <c r="I130" s="4" t="s">
        <v>608</v>
      </c>
      <c r="J130" s="11"/>
      <c r="K130" s="11"/>
      <c r="L130" s="6">
        <v>4</v>
      </c>
      <c r="M130" s="4">
        <v>4</v>
      </c>
      <c r="N130" s="6">
        <v>4</v>
      </c>
      <c r="O130" s="4">
        <v>4</v>
      </c>
      <c r="P130" s="6">
        <v>5</v>
      </c>
      <c r="Q130" s="4">
        <v>5</v>
      </c>
      <c r="R130" s="6">
        <v>3</v>
      </c>
      <c r="S130" s="4">
        <v>1</v>
      </c>
      <c r="T130" s="92">
        <f t="shared" si="4"/>
        <v>16</v>
      </c>
      <c r="U130" s="95">
        <f t="shared" si="5"/>
        <v>14</v>
      </c>
      <c r="V130" s="67">
        <f t="shared" si="7"/>
        <v>2</v>
      </c>
      <c r="W130" s="67" t="str">
        <f>IF(V130&gt;(MEDIAN(Scoring!V:V)+_xlfn.STDEV.P(Scoring!V:V)),"YES","")</f>
        <v/>
      </c>
      <c r="X130" s="67" t="str">
        <f>IF($W130="YES",VLOOKUP($A130,'Editors Rescore'!$A$2:$M$63,13,FALSE),"")</f>
        <v/>
      </c>
      <c r="Y130" s="81">
        <f t="shared" si="6"/>
        <v>15</v>
      </c>
    </row>
    <row r="131" spans="1:25" s="1" customFormat="1" ht="32.15" customHeight="1" x14ac:dyDescent="0.3">
      <c r="A131" s="114" t="s">
        <v>170</v>
      </c>
      <c r="B131" s="113" t="s">
        <v>171</v>
      </c>
      <c r="C131" s="113" t="s">
        <v>172</v>
      </c>
      <c r="D131" s="97" t="s">
        <v>17</v>
      </c>
      <c r="E131" s="93" t="s">
        <v>18</v>
      </c>
      <c r="F131" s="96">
        <v>30814829</v>
      </c>
      <c r="G131" s="93" t="s">
        <v>619</v>
      </c>
      <c r="H131" s="92" t="s">
        <v>623</v>
      </c>
      <c r="I131" s="93" t="s">
        <v>622</v>
      </c>
      <c r="J131" s="94"/>
      <c r="K131" s="94"/>
      <c r="L131" s="92">
        <v>3</v>
      </c>
      <c r="M131" s="93">
        <v>4</v>
      </c>
      <c r="N131" s="92">
        <v>4</v>
      </c>
      <c r="O131" s="93">
        <v>4</v>
      </c>
      <c r="P131" s="92">
        <v>5</v>
      </c>
      <c r="Q131" s="93">
        <v>5</v>
      </c>
      <c r="R131" s="92">
        <v>2</v>
      </c>
      <c r="S131" s="93">
        <v>3</v>
      </c>
      <c r="T131" s="92">
        <f t="shared" ref="T131:T194" si="8">J131+L131+N131+P131+R131</f>
        <v>14</v>
      </c>
      <c r="U131" s="95">
        <f t="shared" ref="U131:U194" si="9">K131+M131+O131+Q131+S131</f>
        <v>16</v>
      </c>
      <c r="V131" s="67">
        <f t="shared" si="7"/>
        <v>2</v>
      </c>
      <c r="W131" s="67" t="str">
        <f>IF(V131&gt;(MEDIAN(Scoring!V:V)+_xlfn.STDEV.P(Scoring!V:V)),"YES","")</f>
        <v/>
      </c>
      <c r="X131" s="67" t="str">
        <f>IF($W131="YES",VLOOKUP($A131,'Editors Rescore'!$A$2:$M$63,13,FALSE),"")</f>
        <v/>
      </c>
      <c r="Y131" s="81">
        <f t="shared" ref="Y131:Y194" si="10">IF(W131="YES",AVERAGE(T131,U131,X131),AVERAGE(T131,U131))</f>
        <v>15</v>
      </c>
    </row>
    <row r="132" spans="1:25" s="1" customFormat="1" ht="32.15" customHeight="1" x14ac:dyDescent="0.3">
      <c r="A132" s="122" t="s">
        <v>675</v>
      </c>
      <c r="B132" s="112" t="s">
        <v>676</v>
      </c>
      <c r="C132" s="112" t="s">
        <v>567</v>
      </c>
      <c r="D132" s="4" t="s">
        <v>29</v>
      </c>
      <c r="E132" s="4" t="s">
        <v>19</v>
      </c>
      <c r="F132" s="4">
        <v>31439455</v>
      </c>
      <c r="G132" s="4" t="s">
        <v>616</v>
      </c>
      <c r="H132" s="83" t="s">
        <v>465</v>
      </c>
      <c r="I132" s="4" t="s">
        <v>604</v>
      </c>
      <c r="J132" s="5">
        <v>5</v>
      </c>
      <c r="K132" s="4">
        <v>5</v>
      </c>
      <c r="L132" s="83">
        <v>3</v>
      </c>
      <c r="M132" s="4">
        <v>3</v>
      </c>
      <c r="N132" s="79"/>
      <c r="O132" s="11"/>
      <c r="P132" s="83">
        <v>2</v>
      </c>
      <c r="Q132" s="4">
        <v>5</v>
      </c>
      <c r="R132" s="83">
        <v>2</v>
      </c>
      <c r="S132" s="4">
        <v>4</v>
      </c>
      <c r="T132" s="92">
        <f t="shared" si="8"/>
        <v>12</v>
      </c>
      <c r="U132" s="95">
        <f t="shared" si="9"/>
        <v>17</v>
      </c>
      <c r="V132" s="67">
        <f t="shared" ref="V132:V195" si="11">ABS(T132-U132)</f>
        <v>5</v>
      </c>
      <c r="W132" s="67" t="str">
        <f>IF(V132&gt;(MEDIAN(Scoring!V:V)+_xlfn.STDEV.P(Scoring!V:V)),"YES","")</f>
        <v>YES</v>
      </c>
      <c r="X132" s="67">
        <f>IF($W132="YES",VLOOKUP($A132,'Editors Rescore'!$A$2:$M$63,13,FALSE),"")</f>
        <v>15</v>
      </c>
      <c r="Y132" s="81">
        <f t="shared" si="10"/>
        <v>14.666666666666666</v>
      </c>
    </row>
    <row r="133" spans="1:25" s="1" customFormat="1" ht="16" customHeight="1" x14ac:dyDescent="0.3">
      <c r="A133" s="122" t="s">
        <v>807</v>
      </c>
      <c r="B133" s="115" t="s">
        <v>806</v>
      </c>
      <c r="C133" s="115" t="s">
        <v>99</v>
      </c>
      <c r="D133" s="76" t="s">
        <v>29</v>
      </c>
      <c r="E133" s="4" t="s">
        <v>19</v>
      </c>
      <c r="F133" s="4">
        <v>31046707</v>
      </c>
      <c r="G133" s="4" t="s">
        <v>611</v>
      </c>
      <c r="H133" s="9" t="s">
        <v>615</v>
      </c>
      <c r="I133" s="4" t="s">
        <v>614</v>
      </c>
      <c r="J133" s="9">
        <v>5</v>
      </c>
      <c r="K133" s="4">
        <v>5</v>
      </c>
      <c r="L133" s="9">
        <v>3</v>
      </c>
      <c r="M133" s="4">
        <v>5</v>
      </c>
      <c r="N133" s="11"/>
      <c r="O133" s="11"/>
      <c r="P133" s="9">
        <v>3</v>
      </c>
      <c r="Q133" s="4">
        <v>4</v>
      </c>
      <c r="R133" s="9">
        <v>1</v>
      </c>
      <c r="S133" s="4">
        <v>2</v>
      </c>
      <c r="T133" s="92">
        <f t="shared" si="8"/>
        <v>12</v>
      </c>
      <c r="U133" s="95">
        <f t="shared" si="9"/>
        <v>16</v>
      </c>
      <c r="V133" s="67">
        <f t="shared" si="11"/>
        <v>4</v>
      </c>
      <c r="W133" s="67" t="str">
        <f>IF(V133&gt;(MEDIAN(Scoring!V:V)+_xlfn.STDEV.P(Scoring!V:V)),"YES","")</f>
        <v>YES</v>
      </c>
      <c r="X133" s="67">
        <f>IF($W133="YES",VLOOKUP($A133,'Editors Rescore'!$A$2:$M$63,13,FALSE),"")</f>
        <v>16</v>
      </c>
      <c r="Y133" s="81">
        <f t="shared" si="10"/>
        <v>14.666666666666666</v>
      </c>
    </row>
    <row r="134" spans="1:25" s="1" customFormat="1" ht="32.15" customHeight="1" x14ac:dyDescent="0.3">
      <c r="A134" s="122" t="s">
        <v>569</v>
      </c>
      <c r="B134" s="112" t="s">
        <v>570</v>
      </c>
      <c r="C134" s="112" t="s">
        <v>81</v>
      </c>
      <c r="D134" s="4" t="s">
        <v>25</v>
      </c>
      <c r="E134" s="4" t="s">
        <v>19</v>
      </c>
      <c r="F134" s="4">
        <v>31807599</v>
      </c>
      <c r="G134" s="4" t="s">
        <v>616</v>
      </c>
      <c r="H134" s="5" t="s">
        <v>604</v>
      </c>
      <c r="I134" s="4" t="s">
        <v>465</v>
      </c>
      <c r="J134" s="5">
        <v>5</v>
      </c>
      <c r="K134" s="4">
        <v>5</v>
      </c>
      <c r="L134" s="5">
        <v>1</v>
      </c>
      <c r="M134" s="4">
        <v>3</v>
      </c>
      <c r="N134" s="11"/>
      <c r="O134" s="11"/>
      <c r="P134" s="5">
        <v>5</v>
      </c>
      <c r="Q134" s="4">
        <v>5</v>
      </c>
      <c r="R134" s="5">
        <v>1</v>
      </c>
      <c r="S134" s="4">
        <v>4</v>
      </c>
      <c r="T134" s="92">
        <f t="shared" si="8"/>
        <v>12</v>
      </c>
      <c r="U134" s="95">
        <f t="shared" si="9"/>
        <v>17</v>
      </c>
      <c r="V134" s="67">
        <f t="shared" si="11"/>
        <v>5</v>
      </c>
      <c r="W134" s="67" t="str">
        <f>IF(V134&gt;(MEDIAN(Scoring!V:V)+_xlfn.STDEV.P(Scoring!V:V)),"YES","")</f>
        <v>YES</v>
      </c>
      <c r="X134" s="67">
        <f>IF($W134="YES",VLOOKUP($A134,'Editors Rescore'!$A$2:$M$63,13,FALSE),"")</f>
        <v>15</v>
      </c>
      <c r="Y134" s="81">
        <f t="shared" si="10"/>
        <v>14.666666666666666</v>
      </c>
    </row>
    <row r="135" spans="1:25" s="1" customFormat="1" ht="16" customHeight="1" x14ac:dyDescent="0.3">
      <c r="A135" s="122" t="s">
        <v>383</v>
      </c>
      <c r="B135" s="112" t="s">
        <v>635</v>
      </c>
      <c r="C135" s="112" t="s">
        <v>384</v>
      </c>
      <c r="D135" s="4" t="s">
        <v>29</v>
      </c>
      <c r="E135" s="4" t="s">
        <v>18</v>
      </c>
      <c r="F135" s="4">
        <v>31839900</v>
      </c>
      <c r="G135" s="4" t="s">
        <v>128</v>
      </c>
      <c r="H135" s="5" t="s">
        <v>609</v>
      </c>
      <c r="I135" s="4" t="s">
        <v>610</v>
      </c>
      <c r="J135" s="11"/>
      <c r="K135" s="11"/>
      <c r="L135" s="6">
        <v>3</v>
      </c>
      <c r="M135" s="4">
        <v>3</v>
      </c>
      <c r="N135" s="6">
        <v>4</v>
      </c>
      <c r="O135" s="4">
        <v>4</v>
      </c>
      <c r="P135" s="6">
        <v>5</v>
      </c>
      <c r="Q135" s="4">
        <v>5</v>
      </c>
      <c r="R135" s="6">
        <v>2</v>
      </c>
      <c r="S135" s="4">
        <v>3</v>
      </c>
      <c r="T135" s="92">
        <f t="shared" si="8"/>
        <v>14</v>
      </c>
      <c r="U135" s="95">
        <f t="shared" si="9"/>
        <v>15</v>
      </c>
      <c r="V135" s="67">
        <f t="shared" si="11"/>
        <v>1</v>
      </c>
      <c r="W135" s="67" t="str">
        <f>IF(V135&gt;(MEDIAN(Scoring!V:V)+_xlfn.STDEV.P(Scoring!V:V)),"YES","")</f>
        <v/>
      </c>
      <c r="X135" s="67" t="str">
        <f>IF($W135="YES",VLOOKUP($A135,'Editors Rescore'!$A$2:$M$63,13,FALSE),"")</f>
        <v/>
      </c>
      <c r="Y135" s="81">
        <f t="shared" si="10"/>
        <v>14.5</v>
      </c>
    </row>
    <row r="136" spans="1:25" s="1" customFormat="1" ht="32.15" customHeight="1" x14ac:dyDescent="0.3">
      <c r="A136" s="122" t="s">
        <v>302</v>
      </c>
      <c r="B136" s="112" t="s">
        <v>498</v>
      </c>
      <c r="C136" s="112" t="s">
        <v>499</v>
      </c>
      <c r="D136" s="4" t="s">
        <v>489</v>
      </c>
      <c r="E136" s="4" t="s">
        <v>490</v>
      </c>
      <c r="F136" s="4">
        <v>31808588</v>
      </c>
      <c r="G136" s="76" t="s">
        <v>611</v>
      </c>
      <c r="H136" s="83" t="s">
        <v>612</v>
      </c>
      <c r="I136" s="76" t="s">
        <v>613</v>
      </c>
      <c r="J136" s="79"/>
      <c r="K136" s="79"/>
      <c r="L136" s="85">
        <v>4</v>
      </c>
      <c r="M136" s="76">
        <f>(2+1+1)</f>
        <v>4</v>
      </c>
      <c r="N136" s="85">
        <v>3</v>
      </c>
      <c r="O136" s="76">
        <f>(2+1+0)</f>
        <v>3</v>
      </c>
      <c r="P136" s="85">
        <v>5</v>
      </c>
      <c r="Q136" s="76">
        <f>(2+2+1)</f>
        <v>5</v>
      </c>
      <c r="R136" s="85">
        <v>2</v>
      </c>
      <c r="S136" s="76">
        <f>(1+0+1+1)</f>
        <v>3</v>
      </c>
      <c r="T136" s="92">
        <f t="shared" si="8"/>
        <v>14</v>
      </c>
      <c r="U136" s="95">
        <f t="shared" si="9"/>
        <v>15</v>
      </c>
      <c r="V136" s="67">
        <f t="shared" si="11"/>
        <v>1</v>
      </c>
      <c r="W136" s="67" t="str">
        <f>IF(V136&gt;(MEDIAN(Scoring!V:V)+_xlfn.STDEV.P(Scoring!V:V)),"YES","")</f>
        <v/>
      </c>
      <c r="X136" s="67" t="str">
        <f>IF($W136="YES",VLOOKUP($A136,'Editors Rescore'!$A$2:$M$63,13,FALSE),"")</f>
        <v/>
      </c>
      <c r="Y136" s="81">
        <f t="shared" si="10"/>
        <v>14.5</v>
      </c>
    </row>
    <row r="137" spans="1:25" s="1" customFormat="1" ht="32.15" customHeight="1" x14ac:dyDescent="0.3">
      <c r="A137" s="2" t="s">
        <v>328</v>
      </c>
      <c r="B137" s="121" t="s">
        <v>641</v>
      </c>
      <c r="C137" s="121" t="s">
        <v>329</v>
      </c>
      <c r="D137" s="82" t="s">
        <v>17</v>
      </c>
      <c r="E137" s="68" t="s">
        <v>18</v>
      </c>
      <c r="F137" s="69">
        <v>31367729</v>
      </c>
      <c r="G137" s="82" t="s">
        <v>605</v>
      </c>
      <c r="H137" s="84" t="s">
        <v>318</v>
      </c>
      <c r="I137" s="82" t="s">
        <v>626</v>
      </c>
      <c r="J137" s="87"/>
      <c r="K137" s="87"/>
      <c r="L137" s="84">
        <v>4</v>
      </c>
      <c r="M137" s="82">
        <v>3</v>
      </c>
      <c r="N137" s="84">
        <v>4</v>
      </c>
      <c r="O137" s="82">
        <v>4</v>
      </c>
      <c r="P137" s="84">
        <v>3</v>
      </c>
      <c r="Q137" s="82">
        <v>5</v>
      </c>
      <c r="R137" s="84">
        <v>2</v>
      </c>
      <c r="S137" s="82">
        <v>4</v>
      </c>
      <c r="T137" s="92">
        <f t="shared" si="8"/>
        <v>13</v>
      </c>
      <c r="U137" s="95">
        <f t="shared" si="9"/>
        <v>16</v>
      </c>
      <c r="V137" s="67">
        <f t="shared" si="11"/>
        <v>3</v>
      </c>
      <c r="W137" s="67" t="str">
        <f>IF(V137&gt;(MEDIAN(Scoring!V:V)+_xlfn.STDEV.P(Scoring!V:V)),"YES","")</f>
        <v/>
      </c>
      <c r="X137" s="67" t="str">
        <f>IF($W137="YES",VLOOKUP($A137,'Editors Rescore'!$A$2:$M$63,13,FALSE),"")</f>
        <v/>
      </c>
      <c r="Y137" s="81">
        <f t="shared" si="10"/>
        <v>14.5</v>
      </c>
    </row>
    <row r="138" spans="1:25" s="1" customFormat="1" ht="32.15" customHeight="1" x14ac:dyDescent="0.3">
      <c r="A138" s="123" t="s">
        <v>89</v>
      </c>
      <c r="B138" s="130" t="s">
        <v>647</v>
      </c>
      <c r="C138" s="113" t="s">
        <v>74</v>
      </c>
      <c r="D138" s="104" t="s">
        <v>17</v>
      </c>
      <c r="E138" s="103" t="s">
        <v>19</v>
      </c>
      <c r="F138" s="103">
        <v>30603080</v>
      </c>
      <c r="G138" s="103" t="s">
        <v>616</v>
      </c>
      <c r="H138" s="107" t="s">
        <v>617</v>
      </c>
      <c r="I138" s="103" t="s">
        <v>618</v>
      </c>
      <c r="J138" s="107">
        <v>5</v>
      </c>
      <c r="K138" s="103">
        <v>5</v>
      </c>
      <c r="L138" s="107">
        <v>3</v>
      </c>
      <c r="M138" s="103">
        <v>3</v>
      </c>
      <c r="N138" s="108"/>
      <c r="O138" s="108"/>
      <c r="P138" s="107">
        <v>5</v>
      </c>
      <c r="Q138" s="103">
        <v>3</v>
      </c>
      <c r="R138" s="107">
        <v>2</v>
      </c>
      <c r="S138" s="103">
        <v>3</v>
      </c>
      <c r="T138" s="92">
        <f t="shared" si="8"/>
        <v>15</v>
      </c>
      <c r="U138" s="95">
        <f t="shared" si="9"/>
        <v>14</v>
      </c>
      <c r="V138" s="67">
        <f t="shared" si="11"/>
        <v>1</v>
      </c>
      <c r="W138" s="67" t="str">
        <f>IF(V138&gt;(MEDIAN(Scoring!V:V)+_xlfn.STDEV.P(Scoring!V:V)),"YES","")</f>
        <v/>
      </c>
      <c r="X138" s="67" t="str">
        <f>IF($W138="YES",VLOOKUP($A138,'Editors Rescore'!$A$2:$M$63,13,FALSE),"")</f>
        <v/>
      </c>
      <c r="Y138" s="81">
        <f t="shared" si="10"/>
        <v>14.5</v>
      </c>
    </row>
    <row r="139" spans="1:25" s="1" customFormat="1" ht="32.15" customHeight="1" x14ac:dyDescent="0.3">
      <c r="A139" s="123" t="s">
        <v>73</v>
      </c>
      <c r="B139" s="128" t="s">
        <v>661</v>
      </c>
      <c r="C139" s="114" t="s">
        <v>74</v>
      </c>
      <c r="D139" s="103" t="s">
        <v>29</v>
      </c>
      <c r="E139" s="103" t="s">
        <v>19</v>
      </c>
      <c r="F139" s="103">
        <v>30410745</v>
      </c>
      <c r="G139" s="104" t="s">
        <v>616</v>
      </c>
      <c r="H139" s="105" t="s">
        <v>618</v>
      </c>
      <c r="I139" s="104" t="s">
        <v>617</v>
      </c>
      <c r="J139" s="105">
        <v>5</v>
      </c>
      <c r="K139" s="104">
        <v>5</v>
      </c>
      <c r="L139" s="105">
        <v>3</v>
      </c>
      <c r="M139" s="104">
        <v>3</v>
      </c>
      <c r="N139" s="106"/>
      <c r="O139" s="106"/>
      <c r="P139" s="105">
        <v>4</v>
      </c>
      <c r="Q139" s="104">
        <v>5</v>
      </c>
      <c r="R139" s="105">
        <v>3</v>
      </c>
      <c r="S139" s="104">
        <v>1</v>
      </c>
      <c r="T139" s="92">
        <f t="shared" si="8"/>
        <v>15</v>
      </c>
      <c r="U139" s="95">
        <f t="shared" si="9"/>
        <v>14</v>
      </c>
      <c r="V139" s="67">
        <f t="shared" si="11"/>
        <v>1</v>
      </c>
      <c r="W139" s="67" t="str">
        <f>IF(V139&gt;(MEDIAN(Scoring!V:V)+_xlfn.STDEV.P(Scoring!V:V)),"YES","")</f>
        <v/>
      </c>
      <c r="X139" s="67" t="str">
        <f>IF($W139="YES",VLOOKUP($A139,'Editors Rescore'!$A$2:$M$63,13,FALSE),"")</f>
        <v/>
      </c>
      <c r="Y139" s="81">
        <f t="shared" si="10"/>
        <v>14.5</v>
      </c>
    </row>
    <row r="140" spans="1:25" s="1" customFormat="1" ht="16" customHeight="1" x14ac:dyDescent="0.3">
      <c r="A140" s="124" t="s">
        <v>420</v>
      </c>
      <c r="B140" s="115" t="s">
        <v>671</v>
      </c>
      <c r="C140" s="115" t="s">
        <v>371</v>
      </c>
      <c r="D140" s="76" t="s">
        <v>17</v>
      </c>
      <c r="E140" s="4" t="s">
        <v>18</v>
      </c>
      <c r="F140" s="8">
        <v>30309746</v>
      </c>
      <c r="G140" s="76" t="s">
        <v>619</v>
      </c>
      <c r="H140" s="83" t="s">
        <v>623</v>
      </c>
      <c r="I140" s="76" t="s">
        <v>622</v>
      </c>
      <c r="J140" s="79"/>
      <c r="K140" s="79"/>
      <c r="L140" s="85">
        <v>3</v>
      </c>
      <c r="M140" s="76">
        <v>4</v>
      </c>
      <c r="N140" s="85">
        <v>3</v>
      </c>
      <c r="O140" s="76">
        <v>4</v>
      </c>
      <c r="P140" s="85">
        <v>3</v>
      </c>
      <c r="Q140" s="76">
        <v>3</v>
      </c>
      <c r="R140" s="85">
        <v>5</v>
      </c>
      <c r="S140" s="76">
        <v>4</v>
      </c>
      <c r="T140" s="92">
        <f t="shared" si="8"/>
        <v>14</v>
      </c>
      <c r="U140" s="95">
        <f t="shared" si="9"/>
        <v>15</v>
      </c>
      <c r="V140" s="67">
        <f t="shared" si="11"/>
        <v>1</v>
      </c>
      <c r="W140" s="67" t="str">
        <f>IF(V140&gt;(MEDIAN(Scoring!V:V)+_xlfn.STDEV.P(Scoring!V:V)),"YES","")</f>
        <v/>
      </c>
      <c r="X140" s="67" t="str">
        <f>IF($W140="YES",VLOOKUP($A140,'Editors Rescore'!$A$2:$M$63,13,FALSE),"")</f>
        <v/>
      </c>
      <c r="Y140" s="81">
        <f t="shared" si="10"/>
        <v>14.5</v>
      </c>
    </row>
    <row r="141" spans="1:25" s="1" customFormat="1" ht="16" customHeight="1" x14ac:dyDescent="0.3">
      <c r="A141" s="114" t="s">
        <v>160</v>
      </c>
      <c r="B141" s="130" t="s">
        <v>161</v>
      </c>
      <c r="C141" s="113" t="s">
        <v>162</v>
      </c>
      <c r="D141" s="97" t="s">
        <v>25</v>
      </c>
      <c r="E141" s="93" t="s">
        <v>18</v>
      </c>
      <c r="F141" s="96">
        <v>31292206</v>
      </c>
      <c r="G141" s="93" t="s">
        <v>619</v>
      </c>
      <c r="H141" s="92" t="s">
        <v>623</v>
      </c>
      <c r="I141" s="93" t="s">
        <v>622</v>
      </c>
      <c r="J141" s="94"/>
      <c r="K141" s="94"/>
      <c r="L141" s="92">
        <v>3</v>
      </c>
      <c r="M141" s="93">
        <v>3</v>
      </c>
      <c r="N141" s="92">
        <v>4</v>
      </c>
      <c r="O141" s="93">
        <v>4</v>
      </c>
      <c r="P141" s="92">
        <v>5</v>
      </c>
      <c r="Q141" s="93">
        <v>3</v>
      </c>
      <c r="R141" s="92">
        <v>3</v>
      </c>
      <c r="S141" s="93">
        <v>4</v>
      </c>
      <c r="T141" s="92">
        <f t="shared" si="8"/>
        <v>15</v>
      </c>
      <c r="U141" s="95">
        <f t="shared" si="9"/>
        <v>14</v>
      </c>
      <c r="V141" s="67">
        <f t="shared" si="11"/>
        <v>1</v>
      </c>
      <c r="W141" s="67" t="str">
        <f>IF(V141&gt;(MEDIAN(Scoring!V:V)+_xlfn.STDEV.P(Scoring!V:V)),"YES","")</f>
        <v/>
      </c>
      <c r="X141" s="67" t="str">
        <f>IF($W141="YES",VLOOKUP($A141,'Editors Rescore'!$A$2:$M$63,13,FALSE),"")</f>
        <v/>
      </c>
      <c r="Y141" s="81">
        <f t="shared" si="10"/>
        <v>14.5</v>
      </c>
    </row>
    <row r="142" spans="1:25" s="1" customFormat="1" ht="32.15" customHeight="1" x14ac:dyDescent="0.3">
      <c r="A142" s="114" t="s">
        <v>299</v>
      </c>
      <c r="B142" s="130" t="s">
        <v>704</v>
      </c>
      <c r="C142" s="130" t="s">
        <v>72</v>
      </c>
      <c r="D142" s="97" t="s">
        <v>17</v>
      </c>
      <c r="E142" s="93" t="s">
        <v>18</v>
      </c>
      <c r="F142" s="96">
        <v>31167869</v>
      </c>
      <c r="G142" s="97" t="s">
        <v>128</v>
      </c>
      <c r="H142" s="98" t="s">
        <v>608</v>
      </c>
      <c r="I142" s="97" t="s">
        <v>607</v>
      </c>
      <c r="J142" s="99"/>
      <c r="K142" s="99"/>
      <c r="L142" s="98">
        <v>4</v>
      </c>
      <c r="M142" s="97">
        <v>3</v>
      </c>
      <c r="N142" s="98">
        <v>4</v>
      </c>
      <c r="O142" s="97">
        <v>4</v>
      </c>
      <c r="P142" s="98">
        <v>3</v>
      </c>
      <c r="Q142" s="97">
        <v>5</v>
      </c>
      <c r="R142" s="98">
        <v>4</v>
      </c>
      <c r="S142" s="97">
        <v>2</v>
      </c>
      <c r="T142" s="92">
        <f t="shared" si="8"/>
        <v>15</v>
      </c>
      <c r="U142" s="95">
        <f t="shared" si="9"/>
        <v>14</v>
      </c>
      <c r="V142" s="67">
        <f t="shared" si="11"/>
        <v>1</v>
      </c>
      <c r="W142" s="67" t="str">
        <f>IF(V142&gt;(MEDIAN(Scoring!V:V)+_xlfn.STDEV.P(Scoring!V:V)),"YES","")</f>
        <v/>
      </c>
      <c r="X142" s="67" t="str">
        <f>IF($W142="YES",VLOOKUP($A142,'Editors Rescore'!$A$2:$M$63,13,FALSE),"")</f>
        <v/>
      </c>
      <c r="Y142" s="81">
        <f t="shared" si="10"/>
        <v>14.5</v>
      </c>
    </row>
    <row r="143" spans="1:25" s="1" customFormat="1" ht="16" customHeight="1" x14ac:dyDescent="0.3">
      <c r="A143" s="123" t="s">
        <v>27</v>
      </c>
      <c r="B143" s="132" t="s">
        <v>736</v>
      </c>
      <c r="C143" s="114" t="s">
        <v>28</v>
      </c>
      <c r="D143" s="103" t="s">
        <v>29</v>
      </c>
      <c r="E143" s="103" t="s">
        <v>19</v>
      </c>
      <c r="F143" s="103">
        <v>31196192</v>
      </c>
      <c r="G143" s="103" t="s">
        <v>20</v>
      </c>
      <c r="H143" s="107" t="s">
        <v>21</v>
      </c>
      <c r="I143" s="103" t="s">
        <v>606</v>
      </c>
      <c r="J143" s="107">
        <v>5</v>
      </c>
      <c r="K143" s="103">
        <v>5</v>
      </c>
      <c r="L143" s="107">
        <v>4</v>
      </c>
      <c r="M143" s="103">
        <v>3</v>
      </c>
      <c r="N143" s="108"/>
      <c r="O143" s="108"/>
      <c r="P143" s="107">
        <v>4</v>
      </c>
      <c r="Q143" s="103">
        <v>3</v>
      </c>
      <c r="R143" s="107">
        <v>2</v>
      </c>
      <c r="S143" s="103">
        <v>3</v>
      </c>
      <c r="T143" s="92">
        <f t="shared" si="8"/>
        <v>15</v>
      </c>
      <c r="U143" s="95">
        <f t="shared" si="9"/>
        <v>14</v>
      </c>
      <c r="V143" s="67">
        <f t="shared" si="11"/>
        <v>1</v>
      </c>
      <c r="W143" s="67" t="str">
        <f>IF(V143&gt;(MEDIAN(Scoring!V:V)+_xlfn.STDEV.P(Scoring!V:V)),"YES","")</f>
        <v/>
      </c>
      <c r="X143" s="67" t="str">
        <f>IF($W143="YES",VLOOKUP($A143,'Editors Rescore'!$A$2:$M$63,13,FALSE),"")</f>
        <v/>
      </c>
      <c r="Y143" s="81">
        <f t="shared" si="10"/>
        <v>14.5</v>
      </c>
    </row>
    <row r="144" spans="1:25" s="1" customFormat="1" ht="32.15" customHeight="1" x14ac:dyDescent="0.3">
      <c r="A144" s="122" t="s">
        <v>564</v>
      </c>
      <c r="B144" s="112" t="s">
        <v>798</v>
      </c>
      <c r="C144" s="112" t="s">
        <v>797</v>
      </c>
      <c r="D144" s="4" t="s">
        <v>17</v>
      </c>
      <c r="E144" s="4" t="s">
        <v>19</v>
      </c>
      <c r="F144" s="4">
        <v>31888526</v>
      </c>
      <c r="G144" s="4" t="s">
        <v>20</v>
      </c>
      <c r="H144" s="5" t="s">
        <v>21</v>
      </c>
      <c r="I144" s="4" t="s">
        <v>606</v>
      </c>
      <c r="J144" s="5">
        <v>4</v>
      </c>
      <c r="K144" s="4">
        <v>5</v>
      </c>
      <c r="L144" s="5">
        <v>5</v>
      </c>
      <c r="M144" s="4">
        <v>3</v>
      </c>
      <c r="N144" s="11"/>
      <c r="O144" s="11"/>
      <c r="P144" s="5">
        <v>3</v>
      </c>
      <c r="Q144" s="4">
        <v>3</v>
      </c>
      <c r="R144" s="5">
        <v>2</v>
      </c>
      <c r="S144" s="4">
        <v>4</v>
      </c>
      <c r="T144" s="92">
        <f t="shared" si="8"/>
        <v>14</v>
      </c>
      <c r="U144" s="95">
        <f t="shared" si="9"/>
        <v>15</v>
      </c>
      <c r="V144" s="67">
        <f t="shared" si="11"/>
        <v>1</v>
      </c>
      <c r="W144" s="67" t="str">
        <f>IF(V144&gt;(MEDIAN(Scoring!V:V)+_xlfn.STDEV.P(Scoring!V:V)),"YES","")</f>
        <v/>
      </c>
      <c r="X144" s="67" t="str">
        <f>IF($W144="YES",VLOOKUP($A144,'Editors Rescore'!$A$2:$M$63,13,FALSE),"")</f>
        <v/>
      </c>
      <c r="Y144" s="81">
        <f t="shared" si="10"/>
        <v>14.5</v>
      </c>
    </row>
    <row r="145" spans="1:25" s="1" customFormat="1" ht="16" customHeight="1" x14ac:dyDescent="0.3">
      <c r="A145" s="122" t="s">
        <v>556</v>
      </c>
      <c r="B145" s="112" t="s">
        <v>557</v>
      </c>
      <c r="C145" s="112" t="s">
        <v>558</v>
      </c>
      <c r="D145" s="4" t="s">
        <v>29</v>
      </c>
      <c r="E145" s="4" t="s">
        <v>19</v>
      </c>
      <c r="F145" s="8">
        <v>31471813</v>
      </c>
      <c r="G145" s="4" t="s">
        <v>619</v>
      </c>
      <c r="H145" s="5" t="s">
        <v>623</v>
      </c>
      <c r="I145" s="4" t="s">
        <v>622</v>
      </c>
      <c r="J145" s="6">
        <v>5</v>
      </c>
      <c r="K145" s="4">
        <v>5</v>
      </c>
      <c r="L145" s="6">
        <v>3</v>
      </c>
      <c r="M145" s="4">
        <v>2</v>
      </c>
      <c r="N145" s="11"/>
      <c r="O145" s="11"/>
      <c r="P145" s="6">
        <v>5</v>
      </c>
      <c r="Q145" s="4">
        <v>3</v>
      </c>
      <c r="R145" s="6">
        <v>3</v>
      </c>
      <c r="S145" s="4">
        <v>3</v>
      </c>
      <c r="T145" s="92">
        <f t="shared" si="8"/>
        <v>16</v>
      </c>
      <c r="U145" s="95">
        <f t="shared" si="9"/>
        <v>13</v>
      </c>
      <c r="V145" s="67">
        <f t="shared" si="11"/>
        <v>3</v>
      </c>
      <c r="W145" s="67" t="str">
        <f>IF(V145&gt;(MEDIAN(Scoring!V:V)+_xlfn.STDEV.P(Scoring!V:V)),"YES","")</f>
        <v/>
      </c>
      <c r="X145" s="67" t="str">
        <f>IF($W145="YES",VLOOKUP($A145,'Editors Rescore'!$A$2:$M$63,13,FALSE),"")</f>
        <v/>
      </c>
      <c r="Y145" s="81">
        <f t="shared" si="10"/>
        <v>14.5</v>
      </c>
    </row>
    <row r="146" spans="1:25" s="1" customFormat="1" ht="32.15" customHeight="1" x14ac:dyDescent="0.3">
      <c r="A146" s="2" t="s">
        <v>322</v>
      </c>
      <c r="B146" s="121" t="s">
        <v>323</v>
      </c>
      <c r="C146" s="121" t="s">
        <v>332</v>
      </c>
      <c r="D146" s="82" t="s">
        <v>25</v>
      </c>
      <c r="E146" s="68" t="s">
        <v>18</v>
      </c>
      <c r="F146" s="69">
        <v>31390114</v>
      </c>
      <c r="G146" s="68" t="s">
        <v>605</v>
      </c>
      <c r="H146" s="71" t="s">
        <v>626</v>
      </c>
      <c r="I146" s="68" t="s">
        <v>318</v>
      </c>
      <c r="J146" s="72"/>
      <c r="K146" s="72"/>
      <c r="L146" s="71">
        <v>3</v>
      </c>
      <c r="M146" s="68">
        <v>4</v>
      </c>
      <c r="N146" s="71">
        <v>1</v>
      </c>
      <c r="O146" s="68">
        <v>4</v>
      </c>
      <c r="P146" s="71">
        <v>5</v>
      </c>
      <c r="Q146" s="68">
        <v>4</v>
      </c>
      <c r="R146" s="71">
        <v>4</v>
      </c>
      <c r="S146" s="68">
        <v>4</v>
      </c>
      <c r="T146" s="92">
        <f t="shared" si="8"/>
        <v>13</v>
      </c>
      <c r="U146" s="95">
        <f t="shared" si="9"/>
        <v>16</v>
      </c>
      <c r="V146" s="67">
        <f t="shared" si="11"/>
        <v>3</v>
      </c>
      <c r="W146" s="67" t="str">
        <f>IF(V146&gt;(MEDIAN(Scoring!V:V)+_xlfn.STDEV.P(Scoring!V:V)),"YES","")</f>
        <v/>
      </c>
      <c r="X146" s="67" t="str">
        <f>IF($W146="YES",VLOOKUP($A146,'Editors Rescore'!$A$2:$M$63,13,FALSE),"")</f>
        <v/>
      </c>
      <c r="Y146" s="81">
        <f t="shared" si="10"/>
        <v>14.5</v>
      </c>
    </row>
    <row r="147" spans="1:25" s="1" customFormat="1" ht="32.15" customHeight="1" x14ac:dyDescent="0.3">
      <c r="A147" s="114" t="s">
        <v>165</v>
      </c>
      <c r="B147" s="147" t="s">
        <v>844</v>
      </c>
      <c r="C147" s="113" t="s">
        <v>166</v>
      </c>
      <c r="D147" s="97" t="s">
        <v>29</v>
      </c>
      <c r="E147" s="93" t="s">
        <v>18</v>
      </c>
      <c r="F147" s="96">
        <v>31309603</v>
      </c>
      <c r="G147" s="93" t="s">
        <v>619</v>
      </c>
      <c r="H147" s="92" t="s">
        <v>623</v>
      </c>
      <c r="I147" s="93" t="s">
        <v>622</v>
      </c>
      <c r="J147" s="94"/>
      <c r="K147" s="94"/>
      <c r="L147" s="92">
        <v>3</v>
      </c>
      <c r="M147" s="93">
        <v>3</v>
      </c>
      <c r="N147" s="92">
        <v>4</v>
      </c>
      <c r="O147" s="93">
        <v>4</v>
      </c>
      <c r="P147" s="92">
        <v>5</v>
      </c>
      <c r="Q147" s="93">
        <v>3</v>
      </c>
      <c r="R147" s="92">
        <v>4</v>
      </c>
      <c r="S147" s="93">
        <v>3</v>
      </c>
      <c r="T147" s="92">
        <f t="shared" si="8"/>
        <v>16</v>
      </c>
      <c r="U147" s="95">
        <f t="shared" si="9"/>
        <v>13</v>
      </c>
      <c r="V147" s="67">
        <f t="shared" si="11"/>
        <v>3</v>
      </c>
      <c r="W147" s="67" t="str">
        <f>IF(V147&gt;(MEDIAN(Scoring!V:V)+_xlfn.STDEV.P(Scoring!V:V)),"YES","")</f>
        <v/>
      </c>
      <c r="X147" s="67" t="str">
        <f>IF($W147="YES",VLOOKUP($A147,'Editors Rescore'!$A$2:$M$63,13,FALSE),"")</f>
        <v/>
      </c>
      <c r="Y147" s="81">
        <f t="shared" si="10"/>
        <v>14.5</v>
      </c>
    </row>
    <row r="148" spans="1:25" s="1" customFormat="1" ht="16" customHeight="1" x14ac:dyDescent="0.3">
      <c r="A148" s="122" t="s">
        <v>390</v>
      </c>
      <c r="B148" s="112" t="s">
        <v>391</v>
      </c>
      <c r="C148" s="112" t="s">
        <v>154</v>
      </c>
      <c r="D148" s="4" t="s">
        <v>17</v>
      </c>
      <c r="E148" s="4" t="s">
        <v>18</v>
      </c>
      <c r="F148" s="4">
        <v>31287044</v>
      </c>
      <c r="G148" s="4" t="s">
        <v>128</v>
      </c>
      <c r="H148" s="5" t="s">
        <v>609</v>
      </c>
      <c r="I148" s="4" t="s">
        <v>610</v>
      </c>
      <c r="J148" s="11"/>
      <c r="K148" s="11"/>
      <c r="L148" s="6">
        <v>4</v>
      </c>
      <c r="M148" s="4">
        <v>4</v>
      </c>
      <c r="N148" s="6">
        <v>3</v>
      </c>
      <c r="O148" s="4">
        <v>3</v>
      </c>
      <c r="P148" s="6">
        <v>5</v>
      </c>
      <c r="Q148" s="4">
        <v>5</v>
      </c>
      <c r="R148" s="6">
        <v>3</v>
      </c>
      <c r="S148" s="4">
        <v>2</v>
      </c>
      <c r="T148" s="92">
        <f t="shared" si="8"/>
        <v>15</v>
      </c>
      <c r="U148" s="95">
        <f t="shared" si="9"/>
        <v>14</v>
      </c>
      <c r="V148" s="67">
        <f t="shared" si="11"/>
        <v>1</v>
      </c>
      <c r="W148" s="67" t="str">
        <f>IF(V148&gt;(MEDIAN(Scoring!V:V)+_xlfn.STDEV.P(Scoring!V:V)),"YES","")</f>
        <v/>
      </c>
      <c r="X148" s="67" t="str">
        <f>IF($W148="YES",VLOOKUP($A148,'Editors Rescore'!$A$2:$M$63,13,FALSE),"")</f>
        <v/>
      </c>
      <c r="Y148" s="81">
        <f t="shared" si="10"/>
        <v>14.5</v>
      </c>
    </row>
    <row r="149" spans="1:25" s="1" customFormat="1" ht="16" customHeight="1" x14ac:dyDescent="0.3">
      <c r="A149" s="122" t="s">
        <v>565</v>
      </c>
      <c r="B149" s="112" t="s">
        <v>566</v>
      </c>
      <c r="C149" s="112" t="s">
        <v>147</v>
      </c>
      <c r="D149" s="4" t="s">
        <v>17</v>
      </c>
      <c r="E149" s="4" t="s">
        <v>19</v>
      </c>
      <c r="F149" s="4">
        <v>31730635</v>
      </c>
      <c r="G149" s="4" t="s">
        <v>20</v>
      </c>
      <c r="H149" s="5" t="s">
        <v>606</v>
      </c>
      <c r="I149" s="4" t="s">
        <v>21</v>
      </c>
      <c r="J149" s="5">
        <v>5</v>
      </c>
      <c r="K149" s="4">
        <v>5</v>
      </c>
      <c r="L149" s="5">
        <v>2</v>
      </c>
      <c r="M149" s="4">
        <v>2</v>
      </c>
      <c r="N149" s="11"/>
      <c r="O149" s="11"/>
      <c r="P149" s="5">
        <v>5</v>
      </c>
      <c r="Q149" s="4">
        <v>5</v>
      </c>
      <c r="R149" s="5">
        <v>3</v>
      </c>
      <c r="S149" s="4">
        <v>2</v>
      </c>
      <c r="T149" s="92">
        <f t="shared" si="8"/>
        <v>15</v>
      </c>
      <c r="U149" s="95">
        <f t="shared" si="9"/>
        <v>14</v>
      </c>
      <c r="V149" s="67">
        <f t="shared" si="11"/>
        <v>1</v>
      </c>
      <c r="W149" s="67" t="str">
        <f>IF(V149&gt;(MEDIAN(Scoring!V:V)+_xlfn.STDEV.P(Scoring!V:V)),"YES","")</f>
        <v/>
      </c>
      <c r="X149" s="67" t="str">
        <f>IF($W149="YES",VLOOKUP($A149,'Editors Rescore'!$A$2:$M$63,13,FALSE),"")</f>
        <v/>
      </c>
      <c r="Y149" s="81">
        <f t="shared" si="10"/>
        <v>14.5</v>
      </c>
    </row>
    <row r="150" spans="1:25" s="1" customFormat="1" ht="16" customHeight="1" x14ac:dyDescent="0.3">
      <c r="A150" s="2" t="s">
        <v>339</v>
      </c>
      <c r="B150" s="2" t="s">
        <v>344</v>
      </c>
      <c r="C150" s="114" t="s">
        <v>52</v>
      </c>
      <c r="D150" s="68" t="s">
        <v>29</v>
      </c>
      <c r="E150" s="68" t="s">
        <v>18</v>
      </c>
      <c r="F150" s="69">
        <v>31181095</v>
      </c>
      <c r="G150" s="68" t="s">
        <v>605</v>
      </c>
      <c r="H150" s="71" t="s">
        <v>318</v>
      </c>
      <c r="I150" s="68" t="s">
        <v>626</v>
      </c>
      <c r="J150" s="72"/>
      <c r="K150" s="72"/>
      <c r="L150" s="71">
        <v>3</v>
      </c>
      <c r="M150" s="68">
        <v>3</v>
      </c>
      <c r="N150" s="71">
        <v>4</v>
      </c>
      <c r="O150" s="68">
        <v>4</v>
      </c>
      <c r="P150" s="71">
        <v>2</v>
      </c>
      <c r="Q150" s="68">
        <v>4</v>
      </c>
      <c r="R150" s="71">
        <v>4</v>
      </c>
      <c r="S150" s="68">
        <v>5</v>
      </c>
      <c r="T150" s="92">
        <f t="shared" si="8"/>
        <v>13</v>
      </c>
      <c r="U150" s="95">
        <f t="shared" si="9"/>
        <v>16</v>
      </c>
      <c r="V150" s="67">
        <f t="shared" si="11"/>
        <v>3</v>
      </c>
      <c r="W150" s="67" t="str">
        <f>IF(V150&gt;(MEDIAN(Scoring!V:V)+_xlfn.STDEV.P(Scoring!V:V)),"YES","")</f>
        <v/>
      </c>
      <c r="X150" s="67" t="str">
        <f>IF($W150="YES",VLOOKUP($A150,'Editors Rescore'!$A$2:$M$63,13,FALSE),"")</f>
        <v/>
      </c>
      <c r="Y150" s="81">
        <f t="shared" si="10"/>
        <v>14.5</v>
      </c>
    </row>
    <row r="151" spans="1:25" s="1" customFormat="1" ht="16" customHeight="1" x14ac:dyDescent="0.3">
      <c r="A151" s="114" t="s">
        <v>155</v>
      </c>
      <c r="B151" s="113" t="s">
        <v>156</v>
      </c>
      <c r="C151" s="113" t="s">
        <v>157</v>
      </c>
      <c r="D151" s="97" t="s">
        <v>29</v>
      </c>
      <c r="E151" s="93" t="s">
        <v>18</v>
      </c>
      <c r="F151" s="96">
        <v>31275782</v>
      </c>
      <c r="G151" s="93" t="s">
        <v>619</v>
      </c>
      <c r="H151" s="92" t="s">
        <v>622</v>
      </c>
      <c r="I151" s="93" t="s">
        <v>623</v>
      </c>
      <c r="J151" s="94"/>
      <c r="K151" s="94"/>
      <c r="L151" s="92">
        <v>3</v>
      </c>
      <c r="M151" s="93">
        <v>3</v>
      </c>
      <c r="N151" s="92">
        <v>4</v>
      </c>
      <c r="O151" s="93">
        <v>1</v>
      </c>
      <c r="P151" s="92">
        <v>5</v>
      </c>
      <c r="Q151" s="93">
        <v>5</v>
      </c>
      <c r="R151" s="92">
        <v>4</v>
      </c>
      <c r="S151" s="93">
        <v>4</v>
      </c>
      <c r="T151" s="92">
        <f t="shared" si="8"/>
        <v>16</v>
      </c>
      <c r="U151" s="95">
        <f t="shared" si="9"/>
        <v>13</v>
      </c>
      <c r="V151" s="67">
        <f t="shared" si="11"/>
        <v>3</v>
      </c>
      <c r="W151" s="67" t="str">
        <f>IF(V151&gt;(MEDIAN(Scoring!V:V)+_xlfn.STDEV.P(Scoring!V:V)),"YES","")</f>
        <v/>
      </c>
      <c r="X151" s="67" t="str">
        <f>IF($W151="YES",VLOOKUP($A151,'Editors Rescore'!$A$2:$M$63,13,FALSE),"")</f>
        <v/>
      </c>
      <c r="Y151" s="81">
        <f t="shared" si="10"/>
        <v>14.5</v>
      </c>
    </row>
    <row r="152" spans="1:25" s="1" customFormat="1" ht="32.15" customHeight="1" x14ac:dyDescent="0.3">
      <c r="A152" s="114" t="s">
        <v>13</v>
      </c>
      <c r="B152" s="144" t="s">
        <v>15</v>
      </c>
      <c r="C152" s="114" t="s">
        <v>16</v>
      </c>
      <c r="D152" s="93" t="s">
        <v>17</v>
      </c>
      <c r="E152" s="93" t="s">
        <v>18</v>
      </c>
      <c r="F152" s="96">
        <v>31208792</v>
      </c>
      <c r="G152" s="97" t="s">
        <v>20</v>
      </c>
      <c r="H152" s="98" t="s">
        <v>606</v>
      </c>
      <c r="I152" s="97" t="s">
        <v>21</v>
      </c>
      <c r="J152" s="99"/>
      <c r="K152" s="99"/>
      <c r="L152" s="98">
        <v>5</v>
      </c>
      <c r="M152" s="97">
        <v>5</v>
      </c>
      <c r="N152" s="98">
        <v>3</v>
      </c>
      <c r="O152" s="97">
        <v>3</v>
      </c>
      <c r="P152" s="98">
        <v>3</v>
      </c>
      <c r="Q152" s="97">
        <v>4</v>
      </c>
      <c r="R152" s="98">
        <v>3</v>
      </c>
      <c r="S152" s="97">
        <v>3</v>
      </c>
      <c r="T152" s="92">
        <f t="shared" si="8"/>
        <v>14</v>
      </c>
      <c r="U152" s="95">
        <f t="shared" si="9"/>
        <v>15</v>
      </c>
      <c r="V152" s="67">
        <f t="shared" si="11"/>
        <v>1</v>
      </c>
      <c r="W152" s="67" t="str">
        <f>IF(V152&gt;(MEDIAN(Scoring!V:V)+_xlfn.STDEV.P(Scoring!V:V)),"YES","")</f>
        <v/>
      </c>
      <c r="X152" s="67" t="str">
        <f>IF($W152="YES",VLOOKUP($A152,'Editors Rescore'!$A$2:$M$63,13,FALSE),"")</f>
        <v/>
      </c>
      <c r="Y152" s="81">
        <f t="shared" si="10"/>
        <v>14.5</v>
      </c>
    </row>
    <row r="153" spans="1:25" s="1" customFormat="1" ht="16" customHeight="1" x14ac:dyDescent="0.3">
      <c r="A153" s="114" t="s">
        <v>206</v>
      </c>
      <c r="B153" s="147" t="s">
        <v>831</v>
      </c>
      <c r="C153" s="113" t="s">
        <v>207</v>
      </c>
      <c r="D153" s="97" t="s">
        <v>17</v>
      </c>
      <c r="E153" s="93" t="s">
        <v>18</v>
      </c>
      <c r="F153" s="96">
        <v>31460794</v>
      </c>
      <c r="G153" s="97" t="s">
        <v>611</v>
      </c>
      <c r="H153" s="98" t="s">
        <v>613</v>
      </c>
      <c r="I153" s="97" t="s">
        <v>612</v>
      </c>
      <c r="J153" s="99"/>
      <c r="K153" s="99"/>
      <c r="L153" s="98">
        <v>3</v>
      </c>
      <c r="M153" s="97">
        <v>3</v>
      </c>
      <c r="N153" s="98">
        <v>4</v>
      </c>
      <c r="O153" s="97">
        <v>4</v>
      </c>
      <c r="P153" s="98">
        <v>3</v>
      </c>
      <c r="Q153" s="97">
        <v>5</v>
      </c>
      <c r="R153" s="98">
        <v>1</v>
      </c>
      <c r="S153" s="97">
        <v>5</v>
      </c>
      <c r="T153" s="92">
        <f t="shared" si="8"/>
        <v>11</v>
      </c>
      <c r="U153" s="95">
        <f t="shared" si="9"/>
        <v>17</v>
      </c>
      <c r="V153" s="67">
        <f t="shared" si="11"/>
        <v>6</v>
      </c>
      <c r="W153" s="67" t="str">
        <f>IF(V153&gt;(MEDIAN(Scoring!V:V)+_xlfn.STDEV.P(Scoring!V:V)),"YES","")</f>
        <v>YES</v>
      </c>
      <c r="X153" s="67">
        <f>IF($W153="YES",VLOOKUP($A153,'Editors Rescore'!$A$2:$M$63,13,FALSE),"")</f>
        <v>15</v>
      </c>
      <c r="Y153" s="81">
        <f t="shared" si="10"/>
        <v>14.333333333333334</v>
      </c>
    </row>
    <row r="154" spans="1:25" s="1" customFormat="1" ht="48" customHeight="1" x14ac:dyDescent="0.3">
      <c r="A154" s="122" t="s">
        <v>847</v>
      </c>
      <c r="B154" s="115" t="s">
        <v>848</v>
      </c>
      <c r="C154" s="115" t="s">
        <v>36</v>
      </c>
      <c r="D154" s="76" t="s">
        <v>17</v>
      </c>
      <c r="E154" s="4" t="s">
        <v>18</v>
      </c>
      <c r="F154" s="4">
        <v>31761424</v>
      </c>
      <c r="G154" s="4" t="s">
        <v>128</v>
      </c>
      <c r="H154" s="5" t="s">
        <v>607</v>
      </c>
      <c r="I154" s="4" t="s">
        <v>608</v>
      </c>
      <c r="J154" s="11"/>
      <c r="K154" s="11"/>
      <c r="L154" s="6">
        <v>4</v>
      </c>
      <c r="M154" s="4">
        <v>4</v>
      </c>
      <c r="N154" s="6">
        <v>4</v>
      </c>
      <c r="O154" s="4">
        <v>3</v>
      </c>
      <c r="P154" s="6">
        <v>5</v>
      </c>
      <c r="Q154" s="4">
        <v>3</v>
      </c>
      <c r="R154" s="6">
        <v>4</v>
      </c>
      <c r="S154" s="4">
        <v>1</v>
      </c>
      <c r="T154" s="92">
        <f t="shared" si="8"/>
        <v>17</v>
      </c>
      <c r="U154" s="95">
        <f t="shared" si="9"/>
        <v>11</v>
      </c>
      <c r="V154" s="67">
        <f t="shared" si="11"/>
        <v>6</v>
      </c>
      <c r="W154" s="67" t="str">
        <f>IF(V154&gt;(MEDIAN(Scoring!V:V)+_xlfn.STDEV.P(Scoring!V:V)),"YES","")</f>
        <v>YES</v>
      </c>
      <c r="X154" s="67">
        <f>IF($W154="YES",VLOOKUP($A154,'Editors Rescore'!$A$2:$M$63,13,FALSE),"")</f>
        <v>15</v>
      </c>
      <c r="Y154" s="81">
        <f t="shared" si="10"/>
        <v>14.333333333333334</v>
      </c>
    </row>
    <row r="155" spans="1:25" s="1" customFormat="1" ht="16" customHeight="1" x14ac:dyDescent="0.3">
      <c r="A155" s="123" t="s">
        <v>44</v>
      </c>
      <c r="B155" s="128" t="s">
        <v>652</v>
      </c>
      <c r="C155" s="114" t="s">
        <v>45</v>
      </c>
      <c r="D155" s="103" t="s">
        <v>29</v>
      </c>
      <c r="E155" s="103" t="s">
        <v>19</v>
      </c>
      <c r="F155" s="103">
        <v>30834023</v>
      </c>
      <c r="G155" s="103" t="s">
        <v>619</v>
      </c>
      <c r="H155" s="107" t="s">
        <v>623</v>
      </c>
      <c r="I155" s="103" t="s">
        <v>622</v>
      </c>
      <c r="J155" s="107">
        <v>5</v>
      </c>
      <c r="K155" s="103">
        <v>5</v>
      </c>
      <c r="L155" s="107">
        <v>1</v>
      </c>
      <c r="M155" s="103">
        <v>2</v>
      </c>
      <c r="N155" s="108"/>
      <c r="O155" s="108"/>
      <c r="P155" s="107">
        <v>5</v>
      </c>
      <c r="Q155" s="103">
        <v>5</v>
      </c>
      <c r="R155" s="107">
        <v>1</v>
      </c>
      <c r="S155" s="103">
        <v>4</v>
      </c>
      <c r="T155" s="92">
        <f t="shared" si="8"/>
        <v>12</v>
      </c>
      <c r="U155" s="95">
        <f t="shared" si="9"/>
        <v>16</v>
      </c>
      <c r="V155" s="67">
        <f t="shared" si="11"/>
        <v>4</v>
      </c>
      <c r="W155" s="67" t="str">
        <f>IF(V155&gt;(MEDIAN(Scoring!V:V)+_xlfn.STDEV.P(Scoring!V:V)),"YES","")</f>
        <v>YES</v>
      </c>
      <c r="X155" s="67">
        <f>IF($W155="YES",VLOOKUP($A155,'Editors Rescore'!$A$2:$M$63,13,FALSE),"")</f>
        <v>14</v>
      </c>
      <c r="Y155" s="81">
        <f t="shared" si="10"/>
        <v>14</v>
      </c>
    </row>
    <row r="156" spans="1:25" s="1" customFormat="1" ht="16" customHeight="1" x14ac:dyDescent="0.3">
      <c r="A156" s="123" t="s">
        <v>153</v>
      </c>
      <c r="B156" s="112" t="s">
        <v>668</v>
      </c>
      <c r="C156" s="112" t="s">
        <v>32</v>
      </c>
      <c r="D156" s="4" t="s">
        <v>25</v>
      </c>
      <c r="E156" s="4" t="s">
        <v>19</v>
      </c>
      <c r="F156" s="4">
        <v>31474774</v>
      </c>
      <c r="G156" s="4" t="s">
        <v>611</v>
      </c>
      <c r="H156" s="77" t="s">
        <v>612</v>
      </c>
      <c r="I156" s="4" t="s">
        <v>613</v>
      </c>
      <c r="J156" s="9">
        <v>5</v>
      </c>
      <c r="K156" s="4">
        <v>5</v>
      </c>
      <c r="L156" s="77">
        <v>0</v>
      </c>
      <c r="M156" s="4">
        <v>0</v>
      </c>
      <c r="N156" s="79"/>
      <c r="O156" s="11"/>
      <c r="P156" s="77">
        <v>5</v>
      </c>
      <c r="Q156" s="4">
        <v>5</v>
      </c>
      <c r="R156" s="77">
        <v>4</v>
      </c>
      <c r="S156" s="4">
        <v>4</v>
      </c>
      <c r="T156" s="92">
        <f t="shared" si="8"/>
        <v>14</v>
      </c>
      <c r="U156" s="95">
        <f t="shared" si="9"/>
        <v>14</v>
      </c>
      <c r="V156" s="67">
        <f t="shared" si="11"/>
        <v>0</v>
      </c>
      <c r="W156" s="67" t="str">
        <f>IF(V156&gt;(MEDIAN(Scoring!V:V)+_xlfn.STDEV.P(Scoring!V:V)),"YES","")</f>
        <v/>
      </c>
      <c r="X156" s="67" t="str">
        <f>IF($W156="YES",VLOOKUP($A156,'Editors Rescore'!$A$2:$M$63,13,FALSE),"")</f>
        <v/>
      </c>
      <c r="Y156" s="81">
        <f t="shared" si="10"/>
        <v>14</v>
      </c>
    </row>
    <row r="157" spans="1:25" s="1" customFormat="1" ht="16" customHeight="1" x14ac:dyDescent="0.3">
      <c r="A157" s="122" t="s">
        <v>474</v>
      </c>
      <c r="B157" s="115" t="s">
        <v>475</v>
      </c>
      <c r="C157" s="115" t="s">
        <v>371</v>
      </c>
      <c r="D157" s="76" t="s">
        <v>29</v>
      </c>
      <c r="E157" s="4" t="s">
        <v>18</v>
      </c>
      <c r="F157" s="4">
        <v>29371015</v>
      </c>
      <c r="G157" s="76" t="s">
        <v>616</v>
      </c>
      <c r="H157" s="83" t="s">
        <v>618</v>
      </c>
      <c r="I157" s="76" t="s">
        <v>617</v>
      </c>
      <c r="J157" s="79"/>
      <c r="K157" s="79"/>
      <c r="L157" s="85">
        <v>4</v>
      </c>
      <c r="M157" s="76">
        <v>4</v>
      </c>
      <c r="N157" s="85">
        <v>1</v>
      </c>
      <c r="O157" s="76">
        <v>1</v>
      </c>
      <c r="P157" s="85">
        <v>3</v>
      </c>
      <c r="Q157" s="76">
        <v>5</v>
      </c>
      <c r="R157" s="85">
        <v>5</v>
      </c>
      <c r="S157" s="76">
        <v>5</v>
      </c>
      <c r="T157" s="92">
        <f t="shared" si="8"/>
        <v>13</v>
      </c>
      <c r="U157" s="95">
        <f t="shared" si="9"/>
        <v>15</v>
      </c>
      <c r="V157" s="67">
        <f t="shared" si="11"/>
        <v>2</v>
      </c>
      <c r="W157" s="67" t="str">
        <f>IF(V157&gt;(MEDIAN(Scoring!V:V)+_xlfn.STDEV.P(Scoring!V:V)),"YES","")</f>
        <v/>
      </c>
      <c r="X157" s="67" t="str">
        <f>IF($W157="YES",VLOOKUP($A157,'Editors Rescore'!$A$2:$M$63,13,FALSE),"")</f>
        <v/>
      </c>
      <c r="Y157" s="81">
        <f t="shared" si="10"/>
        <v>14</v>
      </c>
    </row>
    <row r="158" spans="1:25" s="1" customFormat="1" ht="32.15" customHeight="1" x14ac:dyDescent="0.3">
      <c r="A158" s="122" t="s">
        <v>458</v>
      </c>
      <c r="B158" s="115" t="s">
        <v>459</v>
      </c>
      <c r="C158" s="115" t="s">
        <v>705</v>
      </c>
      <c r="D158" s="76" t="s">
        <v>29</v>
      </c>
      <c r="E158" s="4" t="s">
        <v>18</v>
      </c>
      <c r="F158" s="4">
        <v>30137460</v>
      </c>
      <c r="G158" s="4" t="s">
        <v>20</v>
      </c>
      <c r="H158" s="5" t="s">
        <v>21</v>
      </c>
      <c r="I158" s="4" t="s">
        <v>606</v>
      </c>
      <c r="J158" s="11"/>
      <c r="K158" s="11"/>
      <c r="L158" s="6">
        <v>4</v>
      </c>
      <c r="M158" s="4">
        <v>3</v>
      </c>
      <c r="N158" s="6">
        <v>4</v>
      </c>
      <c r="O158" s="4">
        <v>3</v>
      </c>
      <c r="P158" s="6">
        <v>5</v>
      </c>
      <c r="Q158" s="4">
        <v>3</v>
      </c>
      <c r="R158" s="6">
        <v>2</v>
      </c>
      <c r="S158" s="4">
        <v>4</v>
      </c>
      <c r="T158" s="92">
        <f t="shared" si="8"/>
        <v>15</v>
      </c>
      <c r="U158" s="95">
        <f t="shared" si="9"/>
        <v>13</v>
      </c>
      <c r="V158" s="67">
        <f t="shared" si="11"/>
        <v>2</v>
      </c>
      <c r="W158" s="67" t="str">
        <f>IF(V158&gt;(MEDIAN(Scoring!V:V)+_xlfn.STDEV.P(Scoring!V:V)),"YES","")</f>
        <v/>
      </c>
      <c r="X158" s="67" t="str">
        <f>IF($W158="YES",VLOOKUP($A158,'Editors Rescore'!$A$2:$M$63,13,FALSE),"")</f>
        <v/>
      </c>
      <c r="Y158" s="81">
        <f t="shared" si="10"/>
        <v>14</v>
      </c>
    </row>
    <row r="159" spans="1:25" s="1" customFormat="1" ht="16" customHeight="1" x14ac:dyDescent="0.3">
      <c r="A159" s="123" t="s">
        <v>47</v>
      </c>
      <c r="B159" s="128" t="s">
        <v>730</v>
      </c>
      <c r="C159" s="114" t="s">
        <v>41</v>
      </c>
      <c r="D159" s="103" t="s">
        <v>17</v>
      </c>
      <c r="E159" s="103" t="s">
        <v>19</v>
      </c>
      <c r="F159" s="103">
        <v>30909202</v>
      </c>
      <c r="G159" s="103" t="s">
        <v>619</v>
      </c>
      <c r="H159" s="107" t="s">
        <v>622</v>
      </c>
      <c r="I159" s="103" t="s">
        <v>623</v>
      </c>
      <c r="J159" s="107">
        <v>5</v>
      </c>
      <c r="K159" s="103">
        <v>4</v>
      </c>
      <c r="L159" s="107">
        <v>3</v>
      </c>
      <c r="M159" s="103">
        <v>2</v>
      </c>
      <c r="N159" s="108"/>
      <c r="O159" s="108"/>
      <c r="P159" s="107">
        <v>3</v>
      </c>
      <c r="Q159" s="103">
        <v>3</v>
      </c>
      <c r="R159" s="107">
        <v>4</v>
      </c>
      <c r="S159" s="103">
        <v>1</v>
      </c>
      <c r="T159" s="92">
        <f t="shared" si="8"/>
        <v>15</v>
      </c>
      <c r="U159" s="95">
        <f t="shared" si="9"/>
        <v>10</v>
      </c>
      <c r="V159" s="67">
        <f t="shared" si="11"/>
        <v>5</v>
      </c>
      <c r="W159" s="67" t="str">
        <f>IF(V159&gt;(MEDIAN(Scoring!V:V)+_xlfn.STDEV.P(Scoring!V:V)),"YES","")</f>
        <v>YES</v>
      </c>
      <c r="X159" s="67">
        <f>IF($W159="YES",VLOOKUP($A159,'Editors Rescore'!$A$2:$M$63,13,FALSE),"")</f>
        <v>17</v>
      </c>
      <c r="Y159" s="81">
        <f t="shared" si="10"/>
        <v>14</v>
      </c>
    </row>
    <row r="160" spans="1:25" s="1" customFormat="1" ht="16" customHeight="1" x14ac:dyDescent="0.3">
      <c r="A160" s="122" t="s">
        <v>90</v>
      </c>
      <c r="B160" s="112" t="s">
        <v>747</v>
      </c>
      <c r="C160" s="112" t="s">
        <v>24</v>
      </c>
      <c r="D160" s="4" t="s">
        <v>17</v>
      </c>
      <c r="E160" s="4" t="s">
        <v>18</v>
      </c>
      <c r="F160" s="8">
        <v>31890481</v>
      </c>
      <c r="G160" s="4" t="s">
        <v>20</v>
      </c>
      <c r="H160" s="5" t="s">
        <v>606</v>
      </c>
      <c r="I160" s="4" t="s">
        <v>21</v>
      </c>
      <c r="J160" s="11"/>
      <c r="K160" s="11"/>
      <c r="L160" s="6">
        <v>4</v>
      </c>
      <c r="M160" s="4">
        <v>4</v>
      </c>
      <c r="N160" s="6">
        <v>4</v>
      </c>
      <c r="O160" s="4">
        <v>4</v>
      </c>
      <c r="P160" s="6">
        <v>3</v>
      </c>
      <c r="Q160" s="4">
        <v>4</v>
      </c>
      <c r="R160" s="6">
        <v>3</v>
      </c>
      <c r="S160" s="4">
        <v>2</v>
      </c>
      <c r="T160" s="92">
        <f t="shared" si="8"/>
        <v>14</v>
      </c>
      <c r="U160" s="95">
        <f t="shared" si="9"/>
        <v>14</v>
      </c>
      <c r="V160" s="67">
        <f t="shared" si="11"/>
        <v>0</v>
      </c>
      <c r="W160" s="67" t="str">
        <f>IF(V160&gt;(MEDIAN(Scoring!V:V)+_xlfn.STDEV.P(Scoring!V:V)),"YES","")</f>
        <v/>
      </c>
      <c r="X160" s="67" t="str">
        <f>IF($W160="YES",VLOOKUP($A160,'Editors Rescore'!$A$2:$M$63,13,FALSE),"")</f>
        <v/>
      </c>
      <c r="Y160" s="81">
        <f t="shared" si="10"/>
        <v>14</v>
      </c>
    </row>
    <row r="161" spans="1:25" s="1" customFormat="1" ht="16" customHeight="1" x14ac:dyDescent="0.3">
      <c r="A161" s="122" t="s">
        <v>563</v>
      </c>
      <c r="B161" s="115" t="s">
        <v>757</v>
      </c>
      <c r="C161" s="115" t="s">
        <v>334</v>
      </c>
      <c r="D161" s="76" t="s">
        <v>17</v>
      </c>
      <c r="E161" s="4" t="s">
        <v>19</v>
      </c>
      <c r="F161" s="8">
        <v>31883027</v>
      </c>
      <c r="G161" s="76" t="s">
        <v>619</v>
      </c>
      <c r="H161" s="83" t="s">
        <v>620</v>
      </c>
      <c r="I161" s="76" t="s">
        <v>621</v>
      </c>
      <c r="J161" s="83">
        <v>5</v>
      </c>
      <c r="K161" s="76">
        <v>5</v>
      </c>
      <c r="L161" s="83">
        <v>1</v>
      </c>
      <c r="M161" s="76">
        <v>2</v>
      </c>
      <c r="N161" s="79"/>
      <c r="O161" s="79"/>
      <c r="P161" s="83">
        <v>5</v>
      </c>
      <c r="Q161" s="76">
        <v>5</v>
      </c>
      <c r="R161" s="83">
        <v>4</v>
      </c>
      <c r="S161" s="76">
        <v>1</v>
      </c>
      <c r="T161" s="92">
        <f t="shared" si="8"/>
        <v>15</v>
      </c>
      <c r="U161" s="95">
        <f t="shared" si="9"/>
        <v>13</v>
      </c>
      <c r="V161" s="67">
        <f t="shared" si="11"/>
        <v>2</v>
      </c>
      <c r="W161" s="67" t="str">
        <f>IF(V161&gt;(MEDIAN(Scoring!V:V)+_xlfn.STDEV.P(Scoring!V:V)),"YES","")</f>
        <v/>
      </c>
      <c r="X161" s="67" t="str">
        <f>IF($W161="YES",VLOOKUP($A161,'Editors Rescore'!$A$2:$M$63,13,FALSE),"")</f>
        <v/>
      </c>
      <c r="Y161" s="81">
        <f t="shared" si="10"/>
        <v>14</v>
      </c>
    </row>
    <row r="162" spans="1:25" s="1" customFormat="1" ht="16" customHeight="1" x14ac:dyDescent="0.3">
      <c r="A162" s="114" t="s">
        <v>271</v>
      </c>
      <c r="B162" s="133" t="s">
        <v>768</v>
      </c>
      <c r="C162" s="114" t="s">
        <v>272</v>
      </c>
      <c r="D162" s="93" t="s">
        <v>29</v>
      </c>
      <c r="E162" s="93" t="s">
        <v>18</v>
      </c>
      <c r="F162" s="96">
        <v>30932228</v>
      </c>
      <c r="G162" s="97" t="s">
        <v>128</v>
      </c>
      <c r="H162" s="98" t="s">
        <v>610</v>
      </c>
      <c r="I162" s="97" t="s">
        <v>609</v>
      </c>
      <c r="J162" s="99"/>
      <c r="K162" s="99"/>
      <c r="L162" s="98">
        <v>5</v>
      </c>
      <c r="M162" s="97">
        <v>3</v>
      </c>
      <c r="N162" s="98">
        <v>3</v>
      </c>
      <c r="O162" s="97">
        <v>3</v>
      </c>
      <c r="P162" s="98">
        <v>5</v>
      </c>
      <c r="Q162" s="97">
        <v>5</v>
      </c>
      <c r="R162" s="98">
        <v>2</v>
      </c>
      <c r="S162" s="97">
        <v>2</v>
      </c>
      <c r="T162" s="92">
        <f t="shared" si="8"/>
        <v>15</v>
      </c>
      <c r="U162" s="95">
        <f t="shared" si="9"/>
        <v>13</v>
      </c>
      <c r="V162" s="67">
        <f t="shared" si="11"/>
        <v>2</v>
      </c>
      <c r="W162" s="67" t="str">
        <f>IF(V162&gt;(MEDIAN(Scoring!V:V)+_xlfn.STDEV.P(Scoring!V:V)),"YES","")</f>
        <v/>
      </c>
      <c r="X162" s="67" t="str">
        <f>IF($W162="YES",VLOOKUP($A162,'Editors Rescore'!$A$2:$M$63,13,FALSE),"")</f>
        <v/>
      </c>
      <c r="Y162" s="81">
        <f t="shared" si="10"/>
        <v>14</v>
      </c>
    </row>
    <row r="163" spans="1:25" s="1" customFormat="1" ht="32.15" customHeight="1" x14ac:dyDescent="0.3">
      <c r="A163" s="122" t="s">
        <v>783</v>
      </c>
      <c r="B163" s="115" t="s">
        <v>782</v>
      </c>
      <c r="C163" s="115" t="s">
        <v>52</v>
      </c>
      <c r="D163" s="76" t="s">
        <v>17</v>
      </c>
      <c r="E163" s="4" t="s">
        <v>18</v>
      </c>
      <c r="F163" s="4">
        <v>31618277</v>
      </c>
      <c r="G163" s="4" t="s">
        <v>20</v>
      </c>
      <c r="H163" s="5" t="s">
        <v>21</v>
      </c>
      <c r="I163" s="4" t="s">
        <v>606</v>
      </c>
      <c r="J163" s="11"/>
      <c r="K163" s="11"/>
      <c r="L163" s="6">
        <v>4</v>
      </c>
      <c r="M163" s="4">
        <v>4</v>
      </c>
      <c r="N163" s="6">
        <v>4</v>
      </c>
      <c r="O163" s="4">
        <v>4</v>
      </c>
      <c r="P163" s="6">
        <v>4</v>
      </c>
      <c r="Q163" s="4">
        <v>3</v>
      </c>
      <c r="R163" s="6">
        <v>1</v>
      </c>
      <c r="S163" s="4">
        <v>4</v>
      </c>
      <c r="T163" s="92">
        <f t="shared" si="8"/>
        <v>13</v>
      </c>
      <c r="U163" s="95">
        <f t="shared" si="9"/>
        <v>15</v>
      </c>
      <c r="V163" s="67">
        <f t="shared" si="11"/>
        <v>2</v>
      </c>
      <c r="W163" s="67" t="str">
        <f>IF(V163&gt;(MEDIAN(Scoring!V:V)+_xlfn.STDEV.P(Scoring!V:V)),"YES","")</f>
        <v/>
      </c>
      <c r="X163" s="67" t="str">
        <f>IF($W163="YES",VLOOKUP($A163,'Editors Rescore'!$A$2:$M$63,13,FALSE),"")</f>
        <v/>
      </c>
      <c r="Y163" s="81">
        <f t="shared" si="10"/>
        <v>14</v>
      </c>
    </row>
    <row r="164" spans="1:25" s="1" customFormat="1" ht="16" customHeight="1" x14ac:dyDescent="0.3">
      <c r="A164" s="114" t="s">
        <v>50</v>
      </c>
      <c r="B164" s="114" t="s">
        <v>51</v>
      </c>
      <c r="C164" s="114" t="s">
        <v>52</v>
      </c>
      <c r="D164" s="93" t="s">
        <v>25</v>
      </c>
      <c r="E164" s="93" t="s">
        <v>18</v>
      </c>
      <c r="F164" s="96">
        <v>30735533</v>
      </c>
      <c r="G164" s="93" t="s">
        <v>20</v>
      </c>
      <c r="H164" s="98" t="s">
        <v>606</v>
      </c>
      <c r="I164" s="93" t="s">
        <v>21</v>
      </c>
      <c r="J164" s="94"/>
      <c r="K164" s="94"/>
      <c r="L164" s="98">
        <v>3</v>
      </c>
      <c r="M164" s="93">
        <v>4</v>
      </c>
      <c r="N164" s="98">
        <v>4</v>
      </c>
      <c r="O164" s="93">
        <v>3</v>
      </c>
      <c r="P164" s="98">
        <v>3</v>
      </c>
      <c r="Q164" s="93">
        <v>5</v>
      </c>
      <c r="R164" s="98">
        <v>2</v>
      </c>
      <c r="S164" s="93">
        <v>5</v>
      </c>
      <c r="T164" s="92">
        <f t="shared" si="8"/>
        <v>12</v>
      </c>
      <c r="U164" s="95">
        <f t="shared" si="9"/>
        <v>17</v>
      </c>
      <c r="V164" s="67">
        <f t="shared" si="11"/>
        <v>5</v>
      </c>
      <c r="W164" s="67" t="str">
        <f>IF(V164&gt;(MEDIAN(Scoring!V:V)+_xlfn.STDEV.P(Scoring!V:V)),"YES","")</f>
        <v>YES</v>
      </c>
      <c r="X164" s="67">
        <f>IF($W164="YES",VLOOKUP($A164,'Editors Rescore'!$A$2:$M$63,13,FALSE),"")</f>
        <v>13</v>
      </c>
      <c r="Y164" s="81">
        <f t="shared" si="10"/>
        <v>14</v>
      </c>
    </row>
    <row r="165" spans="1:25" s="1" customFormat="1" ht="16" customHeight="1" x14ac:dyDescent="0.3">
      <c r="A165" s="122" t="s">
        <v>429</v>
      </c>
      <c r="B165" s="115" t="s">
        <v>810</v>
      </c>
      <c r="C165" s="115" t="s">
        <v>430</v>
      </c>
      <c r="D165" s="76" t="s">
        <v>17</v>
      </c>
      <c r="E165" s="4" t="s">
        <v>18</v>
      </c>
      <c r="F165" s="8">
        <v>31625792</v>
      </c>
      <c r="G165" s="4" t="s">
        <v>619</v>
      </c>
      <c r="H165" s="83" t="s">
        <v>622</v>
      </c>
      <c r="I165" s="4" t="s">
        <v>623</v>
      </c>
      <c r="J165" s="11"/>
      <c r="K165" s="11"/>
      <c r="L165" s="85">
        <v>3</v>
      </c>
      <c r="M165" s="4">
        <v>3</v>
      </c>
      <c r="N165" s="85">
        <v>4</v>
      </c>
      <c r="O165" s="4">
        <v>4</v>
      </c>
      <c r="P165" s="85">
        <v>2</v>
      </c>
      <c r="Q165" s="4">
        <v>5</v>
      </c>
      <c r="R165" s="85">
        <v>4</v>
      </c>
      <c r="S165" s="4">
        <v>3</v>
      </c>
      <c r="T165" s="92">
        <f t="shared" si="8"/>
        <v>13</v>
      </c>
      <c r="U165" s="95">
        <f t="shared" si="9"/>
        <v>15</v>
      </c>
      <c r="V165" s="67">
        <f t="shared" si="11"/>
        <v>2</v>
      </c>
      <c r="W165" s="67" t="str">
        <f>IF(V165&gt;(MEDIAN(Scoring!V:V)+_xlfn.STDEV.P(Scoring!V:V)),"YES","")</f>
        <v/>
      </c>
      <c r="X165" s="67" t="str">
        <f>IF($W165="YES",VLOOKUP($A165,'Editors Rescore'!$A$2:$M$63,13,FALSE),"")</f>
        <v/>
      </c>
      <c r="Y165" s="81">
        <f t="shared" si="10"/>
        <v>14</v>
      </c>
    </row>
    <row r="166" spans="1:25" s="1" customFormat="1" ht="16" customHeight="1" x14ac:dyDescent="0.3">
      <c r="A166" s="122" t="s">
        <v>818</v>
      </c>
      <c r="B166" s="115" t="s">
        <v>819</v>
      </c>
      <c r="C166" s="115" t="s">
        <v>506</v>
      </c>
      <c r="D166" s="76" t="s">
        <v>507</v>
      </c>
      <c r="E166" s="4" t="s">
        <v>490</v>
      </c>
      <c r="F166" s="4">
        <v>31728157</v>
      </c>
      <c r="G166" s="4" t="s">
        <v>611</v>
      </c>
      <c r="H166" s="5" t="s">
        <v>613</v>
      </c>
      <c r="I166" s="4" t="s">
        <v>612</v>
      </c>
      <c r="J166" s="11"/>
      <c r="K166" s="11"/>
      <c r="L166" s="6">
        <f>(1+1+1)</f>
        <v>3</v>
      </c>
      <c r="M166" s="4">
        <v>2</v>
      </c>
      <c r="N166" s="6">
        <f>(2+1+1)</f>
        <v>4</v>
      </c>
      <c r="O166" s="4">
        <v>4</v>
      </c>
      <c r="P166" s="6">
        <f>(1+2+0)</f>
        <v>3</v>
      </c>
      <c r="Q166" s="4">
        <v>5</v>
      </c>
      <c r="R166" s="6">
        <f>(0+2+0+1)</f>
        <v>3</v>
      </c>
      <c r="S166" s="4">
        <v>4</v>
      </c>
      <c r="T166" s="92">
        <f t="shared" si="8"/>
        <v>13</v>
      </c>
      <c r="U166" s="95">
        <f t="shared" si="9"/>
        <v>15</v>
      </c>
      <c r="V166" s="67">
        <f t="shared" si="11"/>
        <v>2</v>
      </c>
      <c r="W166" s="67" t="str">
        <f>IF(V166&gt;(MEDIAN(Scoring!V:V)+_xlfn.STDEV.P(Scoring!V:V)),"YES","")</f>
        <v/>
      </c>
      <c r="X166" s="67" t="str">
        <f>IF($W166="YES",VLOOKUP($A166,'Editors Rescore'!$A$2:$M$63,13,FALSE),"")</f>
        <v/>
      </c>
      <c r="Y166" s="81">
        <f t="shared" si="10"/>
        <v>14</v>
      </c>
    </row>
    <row r="167" spans="1:25" s="1" customFormat="1" ht="16" customHeight="1" x14ac:dyDescent="0.3">
      <c r="A167" s="114" t="s">
        <v>257</v>
      </c>
      <c r="B167" s="113" t="s">
        <v>258</v>
      </c>
      <c r="C167" s="113" t="s">
        <v>14</v>
      </c>
      <c r="D167" s="97" t="s">
        <v>17</v>
      </c>
      <c r="E167" s="93" t="s">
        <v>18</v>
      </c>
      <c r="F167" s="96">
        <v>30819093</v>
      </c>
      <c r="G167" s="93" t="s">
        <v>128</v>
      </c>
      <c r="H167" s="92" t="s">
        <v>609</v>
      </c>
      <c r="I167" s="93" t="s">
        <v>610</v>
      </c>
      <c r="J167" s="94"/>
      <c r="K167" s="94"/>
      <c r="L167" s="92">
        <v>4</v>
      </c>
      <c r="M167" s="93">
        <v>4</v>
      </c>
      <c r="N167" s="92">
        <v>4</v>
      </c>
      <c r="O167" s="93">
        <v>4</v>
      </c>
      <c r="P167" s="92">
        <v>5</v>
      </c>
      <c r="Q167" s="93">
        <v>3</v>
      </c>
      <c r="R167" s="92">
        <v>3</v>
      </c>
      <c r="S167" s="93">
        <v>1</v>
      </c>
      <c r="T167" s="92">
        <f t="shared" si="8"/>
        <v>16</v>
      </c>
      <c r="U167" s="95">
        <f t="shared" si="9"/>
        <v>12</v>
      </c>
      <c r="V167" s="67">
        <f t="shared" si="11"/>
        <v>4</v>
      </c>
      <c r="W167" s="67" t="str">
        <f>IF(V167&gt;(MEDIAN(Scoring!V:V)+_xlfn.STDEV.P(Scoring!V:V)),"YES","")</f>
        <v>YES</v>
      </c>
      <c r="X167" s="67">
        <f>IF($W167="YES",VLOOKUP($A167,'Editors Rescore'!$A$2:$M$63,13,FALSE),"")</f>
        <v>14</v>
      </c>
      <c r="Y167" s="81">
        <f t="shared" si="10"/>
        <v>14</v>
      </c>
    </row>
    <row r="168" spans="1:25" s="1" customFormat="1" ht="16" customHeight="1" x14ac:dyDescent="0.3">
      <c r="A168" s="122" t="s">
        <v>378</v>
      </c>
      <c r="B168" s="117" t="s">
        <v>842</v>
      </c>
      <c r="C168" s="117" t="s">
        <v>154</v>
      </c>
      <c r="D168" s="74" t="s">
        <v>17</v>
      </c>
      <c r="E168" s="4" t="s">
        <v>18</v>
      </c>
      <c r="F168" s="4">
        <v>31287049</v>
      </c>
      <c r="G168" s="4" t="s">
        <v>624</v>
      </c>
      <c r="H168" s="5" t="s">
        <v>625</v>
      </c>
      <c r="I168" s="4" t="s">
        <v>366</v>
      </c>
      <c r="J168" s="11"/>
      <c r="K168" s="11"/>
      <c r="L168" s="6">
        <v>4</v>
      </c>
      <c r="M168" s="4">
        <v>3</v>
      </c>
      <c r="N168" s="6">
        <v>3</v>
      </c>
      <c r="O168" s="4">
        <v>3</v>
      </c>
      <c r="P168" s="6">
        <v>4</v>
      </c>
      <c r="Q168" s="4">
        <v>5</v>
      </c>
      <c r="R168" s="6">
        <v>3</v>
      </c>
      <c r="S168" s="4">
        <v>3</v>
      </c>
      <c r="T168" s="92">
        <f t="shared" si="8"/>
        <v>14</v>
      </c>
      <c r="U168" s="95">
        <f t="shared" si="9"/>
        <v>14</v>
      </c>
      <c r="V168" s="67">
        <f t="shared" si="11"/>
        <v>0</v>
      </c>
      <c r="W168" s="67" t="str">
        <f>IF(V168&gt;(MEDIAN(Scoring!V:V)+_xlfn.STDEV.P(Scoring!V:V)),"YES","")</f>
        <v/>
      </c>
      <c r="X168" s="67" t="str">
        <f>IF($W168="YES",VLOOKUP($A168,'Editors Rescore'!$A$2:$M$63,13,FALSE),"")</f>
        <v/>
      </c>
      <c r="Y168" s="81">
        <f t="shared" si="10"/>
        <v>14</v>
      </c>
    </row>
    <row r="169" spans="1:25" s="1" customFormat="1" ht="32.15" customHeight="1" x14ac:dyDescent="0.3">
      <c r="A169" s="122" t="s">
        <v>476</v>
      </c>
      <c r="B169" s="115" t="s">
        <v>477</v>
      </c>
      <c r="C169" s="115" t="s">
        <v>478</v>
      </c>
      <c r="D169" s="76" t="s">
        <v>17</v>
      </c>
      <c r="E169" s="4" t="s">
        <v>18</v>
      </c>
      <c r="F169" s="4">
        <v>31505779</v>
      </c>
      <c r="G169" s="4" t="s">
        <v>616</v>
      </c>
      <c r="H169" s="5" t="s">
        <v>618</v>
      </c>
      <c r="I169" s="4" t="s">
        <v>617</v>
      </c>
      <c r="J169" s="11"/>
      <c r="K169" s="11"/>
      <c r="L169" s="6">
        <v>4</v>
      </c>
      <c r="M169" s="4">
        <v>4</v>
      </c>
      <c r="N169" s="6">
        <v>4</v>
      </c>
      <c r="O169" s="4">
        <v>4</v>
      </c>
      <c r="P169" s="6">
        <v>5</v>
      </c>
      <c r="Q169" s="4">
        <v>3</v>
      </c>
      <c r="R169" s="6">
        <v>2</v>
      </c>
      <c r="S169" s="4">
        <v>2</v>
      </c>
      <c r="T169" s="92">
        <f t="shared" si="8"/>
        <v>15</v>
      </c>
      <c r="U169" s="95">
        <f t="shared" si="9"/>
        <v>13</v>
      </c>
      <c r="V169" s="67">
        <f t="shared" si="11"/>
        <v>2</v>
      </c>
      <c r="W169" s="67" t="str">
        <f>IF(V169&gt;(MEDIAN(Scoring!V:V)+_xlfn.STDEV.P(Scoring!V:V)),"YES","")</f>
        <v/>
      </c>
      <c r="X169" s="67" t="str">
        <f>IF($W169="YES",VLOOKUP($A169,'Editors Rescore'!$A$2:$M$63,13,FALSE),"")</f>
        <v/>
      </c>
      <c r="Y169" s="81">
        <f t="shared" si="10"/>
        <v>14</v>
      </c>
    </row>
    <row r="170" spans="1:25" s="1" customFormat="1" ht="32.15" customHeight="1" x14ac:dyDescent="0.3">
      <c r="A170" s="2" t="s">
        <v>325</v>
      </c>
      <c r="B170" s="121" t="s">
        <v>326</v>
      </c>
      <c r="C170" s="121" t="s">
        <v>36</v>
      </c>
      <c r="D170" s="82" t="s">
        <v>17</v>
      </c>
      <c r="E170" s="68" t="s">
        <v>18</v>
      </c>
      <c r="F170" s="69">
        <v>30935746</v>
      </c>
      <c r="G170" s="68" t="s">
        <v>605</v>
      </c>
      <c r="H170" s="71" t="s">
        <v>626</v>
      </c>
      <c r="I170" s="68" t="s">
        <v>318</v>
      </c>
      <c r="J170" s="72"/>
      <c r="K170" s="72"/>
      <c r="L170" s="71">
        <v>3</v>
      </c>
      <c r="M170" s="68">
        <v>3</v>
      </c>
      <c r="N170" s="71">
        <v>3</v>
      </c>
      <c r="O170" s="68">
        <v>4</v>
      </c>
      <c r="P170" s="71">
        <v>5</v>
      </c>
      <c r="Q170" s="68">
        <v>3</v>
      </c>
      <c r="R170" s="71">
        <v>4</v>
      </c>
      <c r="S170" s="68">
        <v>3</v>
      </c>
      <c r="T170" s="92">
        <f t="shared" si="8"/>
        <v>15</v>
      </c>
      <c r="U170" s="95">
        <f t="shared" si="9"/>
        <v>13</v>
      </c>
      <c r="V170" s="67">
        <f t="shared" si="11"/>
        <v>2</v>
      </c>
      <c r="W170" s="67" t="str">
        <f>IF(V170&gt;(MEDIAN(Scoring!V:V)+_xlfn.STDEV.P(Scoring!V:V)),"YES","")</f>
        <v/>
      </c>
      <c r="X170" s="67" t="str">
        <f>IF($W170="YES",VLOOKUP($A170,'Editors Rescore'!$A$2:$M$63,13,FALSE),"")</f>
        <v/>
      </c>
      <c r="Y170" s="81">
        <f t="shared" si="10"/>
        <v>14</v>
      </c>
    </row>
    <row r="171" spans="1:25" s="1" customFormat="1" ht="16" customHeight="1" x14ac:dyDescent="0.3">
      <c r="A171" s="146" t="s">
        <v>947</v>
      </c>
      <c r="B171" s="114" t="s">
        <v>139</v>
      </c>
      <c r="C171" s="114" t="s">
        <v>140</v>
      </c>
      <c r="D171" s="103" t="s">
        <v>17</v>
      </c>
      <c r="E171" s="103" t="s">
        <v>19</v>
      </c>
      <c r="F171" s="103">
        <v>31424037</v>
      </c>
      <c r="G171" s="104" t="s">
        <v>128</v>
      </c>
      <c r="H171" s="105" t="s">
        <v>608</v>
      </c>
      <c r="I171" s="104" t="s">
        <v>607</v>
      </c>
      <c r="J171" s="105">
        <v>5</v>
      </c>
      <c r="K171" s="104">
        <v>5</v>
      </c>
      <c r="L171" s="105">
        <v>0</v>
      </c>
      <c r="M171" s="104">
        <v>0</v>
      </c>
      <c r="N171" s="106"/>
      <c r="O171" s="106"/>
      <c r="P171" s="105">
        <v>5</v>
      </c>
      <c r="Q171" s="104">
        <v>5</v>
      </c>
      <c r="R171" s="105">
        <v>4</v>
      </c>
      <c r="S171" s="104">
        <v>4</v>
      </c>
      <c r="T171" s="92">
        <f t="shared" si="8"/>
        <v>14</v>
      </c>
      <c r="U171" s="95">
        <f t="shared" si="9"/>
        <v>14</v>
      </c>
      <c r="V171" s="67">
        <f t="shared" si="11"/>
        <v>0</v>
      </c>
      <c r="W171" s="67" t="str">
        <f>IF(V171&gt;(MEDIAN(Scoring!V:V)+_xlfn.STDEV.P(Scoring!V:V)),"YES","")</f>
        <v/>
      </c>
      <c r="X171" s="67" t="str">
        <f>IF($W171="YES",VLOOKUP($A171,'Editors Rescore'!$A$2:$M$63,13,FALSE),"")</f>
        <v/>
      </c>
      <c r="Y171" s="81">
        <f t="shared" si="10"/>
        <v>14</v>
      </c>
    </row>
    <row r="172" spans="1:25" s="1" customFormat="1" ht="32.15" customHeight="1" x14ac:dyDescent="0.3">
      <c r="A172" s="114" t="s">
        <v>301</v>
      </c>
      <c r="B172" s="145" t="s">
        <v>911</v>
      </c>
      <c r="C172" s="113" t="s">
        <v>138</v>
      </c>
      <c r="D172" s="97" t="s">
        <v>29</v>
      </c>
      <c r="E172" s="93" t="s">
        <v>18</v>
      </c>
      <c r="F172" s="96">
        <v>31406596</v>
      </c>
      <c r="G172" s="93" t="s">
        <v>128</v>
      </c>
      <c r="H172" s="92" t="s">
        <v>608</v>
      </c>
      <c r="I172" s="93" t="s">
        <v>607</v>
      </c>
      <c r="J172" s="94"/>
      <c r="K172" s="94"/>
      <c r="L172" s="92">
        <v>2</v>
      </c>
      <c r="M172" s="93">
        <v>3</v>
      </c>
      <c r="N172" s="92">
        <v>3</v>
      </c>
      <c r="O172" s="93">
        <v>4</v>
      </c>
      <c r="P172" s="92">
        <v>5</v>
      </c>
      <c r="Q172" s="93">
        <v>5</v>
      </c>
      <c r="R172" s="92">
        <v>3</v>
      </c>
      <c r="S172" s="93">
        <v>3</v>
      </c>
      <c r="T172" s="92">
        <f t="shared" si="8"/>
        <v>13</v>
      </c>
      <c r="U172" s="95">
        <f t="shared" si="9"/>
        <v>15</v>
      </c>
      <c r="V172" s="67">
        <f t="shared" si="11"/>
        <v>2</v>
      </c>
      <c r="W172" s="67" t="str">
        <f>IF(V172&gt;(MEDIAN(Scoring!V:V)+_xlfn.STDEV.P(Scoring!V:V)),"YES","")</f>
        <v/>
      </c>
      <c r="X172" s="67" t="str">
        <f>IF($W172="YES",VLOOKUP($A172,'Editors Rescore'!$A$2:$M$63,13,FALSE),"")</f>
        <v/>
      </c>
      <c r="Y172" s="81">
        <f t="shared" si="10"/>
        <v>14</v>
      </c>
    </row>
    <row r="173" spans="1:25" s="1" customFormat="1" ht="16" customHeight="1" x14ac:dyDescent="0.3">
      <c r="A173" s="124" t="s">
        <v>433</v>
      </c>
      <c r="B173" s="112" t="s">
        <v>434</v>
      </c>
      <c r="C173" s="116" t="s">
        <v>435</v>
      </c>
      <c r="D173" s="4" t="s">
        <v>29</v>
      </c>
      <c r="E173" s="4" t="s">
        <v>18</v>
      </c>
      <c r="F173" s="8">
        <v>31477686</v>
      </c>
      <c r="G173" s="4" t="s">
        <v>619</v>
      </c>
      <c r="H173" s="5" t="s">
        <v>622</v>
      </c>
      <c r="I173" s="4" t="s">
        <v>623</v>
      </c>
      <c r="J173" s="11"/>
      <c r="K173" s="11"/>
      <c r="L173" s="6">
        <v>4</v>
      </c>
      <c r="M173" s="4">
        <v>3</v>
      </c>
      <c r="N173" s="6">
        <v>4</v>
      </c>
      <c r="O173" s="4">
        <v>4</v>
      </c>
      <c r="P173" s="6">
        <v>5</v>
      </c>
      <c r="Q173" s="4">
        <v>2</v>
      </c>
      <c r="R173" s="6">
        <v>4</v>
      </c>
      <c r="S173" s="4">
        <v>1</v>
      </c>
      <c r="T173" s="92">
        <f t="shared" si="8"/>
        <v>17</v>
      </c>
      <c r="U173" s="95">
        <f t="shared" si="9"/>
        <v>10</v>
      </c>
      <c r="V173" s="67">
        <f t="shared" si="11"/>
        <v>7</v>
      </c>
      <c r="W173" s="67" t="str">
        <f>IF(V173&gt;(MEDIAN(Scoring!V:V)+_xlfn.STDEV.P(Scoring!V:V)),"YES","")</f>
        <v>YES</v>
      </c>
      <c r="X173" s="67">
        <f>IF($W173="YES",VLOOKUP($A173,'Editors Rescore'!$A$2:$M$63,13,FALSE),"")</f>
        <v>15</v>
      </c>
      <c r="Y173" s="81">
        <f t="shared" si="10"/>
        <v>14</v>
      </c>
    </row>
    <row r="174" spans="1:25" s="1" customFormat="1" ht="16" customHeight="1" x14ac:dyDescent="0.3">
      <c r="A174" s="122" t="s">
        <v>436</v>
      </c>
      <c r="B174" s="115" t="s">
        <v>437</v>
      </c>
      <c r="C174" s="115" t="s">
        <v>116</v>
      </c>
      <c r="D174" s="76" t="s">
        <v>17</v>
      </c>
      <c r="E174" s="4" t="s">
        <v>18</v>
      </c>
      <c r="F174" s="8">
        <v>31665778</v>
      </c>
      <c r="G174" s="76" t="s">
        <v>619</v>
      </c>
      <c r="H174" s="83" t="s">
        <v>622</v>
      </c>
      <c r="I174" s="76" t="s">
        <v>623</v>
      </c>
      <c r="J174" s="79"/>
      <c r="K174" s="79"/>
      <c r="L174" s="85">
        <v>4</v>
      </c>
      <c r="M174" s="76">
        <v>4</v>
      </c>
      <c r="N174" s="85">
        <v>4</v>
      </c>
      <c r="O174" s="76">
        <v>4</v>
      </c>
      <c r="P174" s="85">
        <v>3</v>
      </c>
      <c r="Q174" s="76">
        <v>5</v>
      </c>
      <c r="R174" s="85">
        <v>2</v>
      </c>
      <c r="S174" s="76">
        <v>2</v>
      </c>
      <c r="T174" s="92">
        <f t="shared" si="8"/>
        <v>13</v>
      </c>
      <c r="U174" s="95">
        <f t="shared" si="9"/>
        <v>15</v>
      </c>
      <c r="V174" s="67">
        <f t="shared" si="11"/>
        <v>2</v>
      </c>
      <c r="W174" s="67" t="str">
        <f>IF(V174&gt;(MEDIAN(Scoring!V:V)+_xlfn.STDEV.P(Scoring!V:V)),"YES","")</f>
        <v/>
      </c>
      <c r="X174" s="67" t="str">
        <f>IF($W174="YES",VLOOKUP($A174,'Editors Rescore'!$A$2:$M$63,13,FALSE),"")</f>
        <v/>
      </c>
      <c r="Y174" s="81">
        <f t="shared" si="10"/>
        <v>14</v>
      </c>
    </row>
    <row r="175" spans="1:25" s="1" customFormat="1" ht="16" customHeight="1" x14ac:dyDescent="0.3">
      <c r="A175" s="122" t="s">
        <v>510</v>
      </c>
      <c r="B175" s="115" t="s">
        <v>920</v>
      </c>
      <c r="C175" s="115" t="s">
        <v>52</v>
      </c>
      <c r="D175" s="76" t="s">
        <v>17</v>
      </c>
      <c r="E175" s="4" t="s">
        <v>18</v>
      </c>
      <c r="F175" s="4">
        <v>31721766</v>
      </c>
      <c r="G175" s="4" t="s">
        <v>611</v>
      </c>
      <c r="H175" s="9" t="s">
        <v>614</v>
      </c>
      <c r="I175" s="4" t="s">
        <v>615</v>
      </c>
      <c r="J175" s="11"/>
      <c r="K175" s="11"/>
      <c r="L175" s="9">
        <v>4</v>
      </c>
      <c r="M175" s="4">
        <v>4</v>
      </c>
      <c r="N175" s="9">
        <v>1</v>
      </c>
      <c r="O175" s="4">
        <v>1</v>
      </c>
      <c r="P175" s="9">
        <v>4</v>
      </c>
      <c r="Q175" s="4">
        <v>5</v>
      </c>
      <c r="R175" s="9">
        <v>4</v>
      </c>
      <c r="S175" s="4">
        <v>5</v>
      </c>
      <c r="T175" s="92">
        <f t="shared" si="8"/>
        <v>13</v>
      </c>
      <c r="U175" s="95">
        <f t="shared" si="9"/>
        <v>15</v>
      </c>
      <c r="V175" s="67">
        <f t="shared" si="11"/>
        <v>2</v>
      </c>
      <c r="W175" s="67" t="str">
        <f>IF(V175&gt;(MEDIAN(Scoring!V:V)+_xlfn.STDEV.P(Scoring!V:V)),"YES","")</f>
        <v/>
      </c>
      <c r="X175" s="67" t="str">
        <f>IF($W175="YES",VLOOKUP($A175,'Editors Rescore'!$A$2:$M$63,13,FALSE),"")</f>
        <v/>
      </c>
      <c r="Y175" s="81">
        <f t="shared" si="10"/>
        <v>14</v>
      </c>
    </row>
    <row r="176" spans="1:25" s="1" customFormat="1" ht="16" customHeight="1" x14ac:dyDescent="0.3">
      <c r="A176" s="114" t="s">
        <v>197</v>
      </c>
      <c r="B176" s="114" t="s">
        <v>354</v>
      </c>
      <c r="C176" s="114" t="s">
        <v>198</v>
      </c>
      <c r="D176" s="93" t="s">
        <v>17</v>
      </c>
      <c r="E176" s="93" t="s">
        <v>18</v>
      </c>
      <c r="F176" s="96">
        <v>30790034</v>
      </c>
      <c r="G176" s="97" t="s">
        <v>611</v>
      </c>
      <c r="H176" s="98" t="s">
        <v>613</v>
      </c>
      <c r="I176" s="97" t="s">
        <v>612</v>
      </c>
      <c r="J176" s="99"/>
      <c r="K176" s="99"/>
      <c r="L176" s="98">
        <v>4</v>
      </c>
      <c r="M176" s="97">
        <v>4</v>
      </c>
      <c r="N176" s="98">
        <v>4</v>
      </c>
      <c r="O176" s="97">
        <v>4</v>
      </c>
      <c r="P176" s="98">
        <v>4</v>
      </c>
      <c r="Q176" s="97">
        <v>5</v>
      </c>
      <c r="R176" s="98">
        <v>3</v>
      </c>
      <c r="S176" s="97">
        <v>0</v>
      </c>
      <c r="T176" s="92">
        <f t="shared" si="8"/>
        <v>15</v>
      </c>
      <c r="U176" s="95">
        <f t="shared" si="9"/>
        <v>13</v>
      </c>
      <c r="V176" s="67">
        <f t="shared" si="11"/>
        <v>2</v>
      </c>
      <c r="W176" s="67" t="str">
        <f>IF(V176&gt;(MEDIAN(Scoring!V:V)+_xlfn.STDEV.P(Scoring!V:V)),"YES","")</f>
        <v/>
      </c>
      <c r="X176" s="67" t="str">
        <f>IF($W176="YES",VLOOKUP($A176,'Editors Rescore'!$A$2:$M$63,13,FALSE),"")</f>
        <v/>
      </c>
      <c r="Y176" s="81">
        <f t="shared" si="10"/>
        <v>14</v>
      </c>
    </row>
    <row r="177" spans="1:25" s="1" customFormat="1" ht="16" customHeight="1" x14ac:dyDescent="0.3">
      <c r="A177" s="122" t="s">
        <v>938</v>
      </c>
      <c r="B177" s="115" t="s">
        <v>939</v>
      </c>
      <c r="C177" s="115" t="s">
        <v>371</v>
      </c>
      <c r="D177" s="76" t="s">
        <v>29</v>
      </c>
      <c r="E177" s="4" t="s">
        <v>19</v>
      </c>
      <c r="F177" s="4">
        <v>28890191</v>
      </c>
      <c r="G177" s="76" t="s">
        <v>20</v>
      </c>
      <c r="H177" s="83" t="s">
        <v>606</v>
      </c>
      <c r="I177" s="76" t="s">
        <v>21</v>
      </c>
      <c r="J177" s="83">
        <v>5</v>
      </c>
      <c r="K177" s="76">
        <v>5</v>
      </c>
      <c r="L177" s="83">
        <v>0</v>
      </c>
      <c r="M177" s="76">
        <v>2</v>
      </c>
      <c r="N177" s="79"/>
      <c r="O177" s="79"/>
      <c r="P177" s="83">
        <v>3</v>
      </c>
      <c r="Q177" s="76">
        <v>4</v>
      </c>
      <c r="R177" s="83">
        <v>5</v>
      </c>
      <c r="S177" s="76">
        <v>4</v>
      </c>
      <c r="T177" s="92">
        <f t="shared" si="8"/>
        <v>13</v>
      </c>
      <c r="U177" s="95">
        <f t="shared" si="9"/>
        <v>15</v>
      </c>
      <c r="V177" s="67">
        <f t="shared" si="11"/>
        <v>2</v>
      </c>
      <c r="W177" s="67" t="str">
        <f>IF(V177&gt;(MEDIAN(Scoring!V:V)+_xlfn.STDEV.P(Scoring!V:V)),"YES","")</f>
        <v/>
      </c>
      <c r="X177" s="67" t="str">
        <f>IF($W177="YES",VLOOKUP($A177,'Editors Rescore'!$A$2:$M$63,13,FALSE),"")</f>
        <v/>
      </c>
      <c r="Y177" s="81">
        <f t="shared" si="10"/>
        <v>14</v>
      </c>
    </row>
    <row r="178" spans="1:25" s="1" customFormat="1" ht="32.15" customHeight="1" x14ac:dyDescent="0.3">
      <c r="A178" s="114" t="s">
        <v>306</v>
      </c>
      <c r="B178" s="113" t="s">
        <v>213</v>
      </c>
      <c r="C178" s="113" t="s">
        <v>214</v>
      </c>
      <c r="D178" s="97" t="s">
        <v>17</v>
      </c>
      <c r="E178" s="93" t="s">
        <v>18</v>
      </c>
      <c r="F178" s="96">
        <v>30866177</v>
      </c>
      <c r="G178" s="93" t="s">
        <v>611</v>
      </c>
      <c r="H178" s="92" t="s">
        <v>612</v>
      </c>
      <c r="I178" s="93" t="s">
        <v>613</v>
      </c>
      <c r="J178" s="94"/>
      <c r="K178" s="94"/>
      <c r="L178" s="92">
        <v>4</v>
      </c>
      <c r="M178" s="93">
        <v>3</v>
      </c>
      <c r="N178" s="92">
        <v>4</v>
      </c>
      <c r="O178" s="93">
        <v>2</v>
      </c>
      <c r="P178" s="92">
        <v>5</v>
      </c>
      <c r="Q178" s="93">
        <v>3</v>
      </c>
      <c r="R178" s="92">
        <v>3</v>
      </c>
      <c r="S178" s="93">
        <v>2</v>
      </c>
      <c r="T178" s="92">
        <f t="shared" si="8"/>
        <v>16</v>
      </c>
      <c r="U178" s="95">
        <f t="shared" si="9"/>
        <v>10</v>
      </c>
      <c r="V178" s="67">
        <f t="shared" si="11"/>
        <v>6</v>
      </c>
      <c r="W178" s="67" t="str">
        <f>IF(V178&gt;(MEDIAN(Scoring!V:V)+_xlfn.STDEV.P(Scoring!V:V)),"YES","")</f>
        <v>YES</v>
      </c>
      <c r="X178" s="67">
        <f>IF($W178="YES",VLOOKUP($A178,'Editors Rescore'!$A$2:$M$63,13,FALSE),"")</f>
        <v>16</v>
      </c>
      <c r="Y178" s="81">
        <f t="shared" si="10"/>
        <v>14</v>
      </c>
    </row>
    <row r="179" spans="1:25" s="1" customFormat="1" ht="32.15" customHeight="1" x14ac:dyDescent="0.3">
      <c r="A179" s="122" t="s">
        <v>943</v>
      </c>
      <c r="B179" s="112" t="s">
        <v>942</v>
      </c>
      <c r="C179" s="112"/>
      <c r="D179" s="4" t="s">
        <v>25</v>
      </c>
      <c r="E179" s="4" t="s">
        <v>19</v>
      </c>
      <c r="F179" s="4"/>
      <c r="G179" s="76" t="s">
        <v>624</v>
      </c>
      <c r="H179" s="83" t="s">
        <v>625</v>
      </c>
      <c r="I179" s="76" t="s">
        <v>366</v>
      </c>
      <c r="J179" s="85">
        <v>4</v>
      </c>
      <c r="K179" s="76">
        <v>5</v>
      </c>
      <c r="L179" s="85">
        <v>1</v>
      </c>
      <c r="M179" s="76">
        <v>0</v>
      </c>
      <c r="N179" s="79"/>
      <c r="O179" s="79"/>
      <c r="P179" s="85">
        <v>5</v>
      </c>
      <c r="Q179" s="76">
        <v>5</v>
      </c>
      <c r="R179" s="85">
        <v>4</v>
      </c>
      <c r="S179" s="76">
        <v>4</v>
      </c>
      <c r="T179" s="92">
        <f t="shared" si="8"/>
        <v>14</v>
      </c>
      <c r="U179" s="95">
        <f t="shared" si="9"/>
        <v>14</v>
      </c>
      <c r="V179" s="67">
        <f t="shared" si="11"/>
        <v>0</v>
      </c>
      <c r="W179" s="67" t="str">
        <f>IF(V179&gt;(MEDIAN(Scoring!V:V)+_xlfn.STDEV.P(Scoring!V:V)),"YES","")</f>
        <v/>
      </c>
      <c r="X179" s="67" t="str">
        <f>IF($W179="YES",VLOOKUP($A179,'Editors Rescore'!$A$2:$M$63,13,FALSE),"")</f>
        <v/>
      </c>
      <c r="Y179" s="81">
        <f t="shared" si="10"/>
        <v>14</v>
      </c>
    </row>
    <row r="180" spans="1:25" s="1" customFormat="1" ht="16" customHeight="1" x14ac:dyDescent="0.3">
      <c r="A180" s="122" t="s">
        <v>530</v>
      </c>
      <c r="B180" s="112" t="s">
        <v>531</v>
      </c>
      <c r="C180" s="112" t="s">
        <v>67</v>
      </c>
      <c r="D180" s="4" t="s">
        <v>25</v>
      </c>
      <c r="E180" s="4" t="s">
        <v>18</v>
      </c>
      <c r="F180" s="4">
        <v>31615584</v>
      </c>
      <c r="G180" s="4" t="s">
        <v>605</v>
      </c>
      <c r="H180" s="77" t="s">
        <v>318</v>
      </c>
      <c r="I180" s="4" t="s">
        <v>626</v>
      </c>
      <c r="J180" s="11"/>
      <c r="K180" s="11"/>
      <c r="L180" s="77">
        <v>3</v>
      </c>
      <c r="M180" s="4">
        <v>4</v>
      </c>
      <c r="N180" s="77">
        <v>4</v>
      </c>
      <c r="O180" s="4">
        <v>4</v>
      </c>
      <c r="P180" s="77">
        <v>2</v>
      </c>
      <c r="Q180" s="4">
        <v>5</v>
      </c>
      <c r="R180" s="77">
        <v>3</v>
      </c>
      <c r="S180" s="4">
        <v>5</v>
      </c>
      <c r="T180" s="92">
        <f t="shared" si="8"/>
        <v>12</v>
      </c>
      <c r="U180" s="95">
        <f t="shared" si="9"/>
        <v>18</v>
      </c>
      <c r="V180" s="67">
        <f t="shared" si="11"/>
        <v>6</v>
      </c>
      <c r="W180" s="67" t="str">
        <f>IF(V180&gt;(MEDIAN(Scoring!V:V)+_xlfn.STDEV.P(Scoring!V:V)),"YES","")</f>
        <v>YES</v>
      </c>
      <c r="X180" s="67">
        <f>IF($W180="YES",VLOOKUP($A180,'Editors Rescore'!$A$2:$M$63,13,FALSE),"")</f>
        <v>11</v>
      </c>
      <c r="Y180" s="81">
        <f t="shared" si="10"/>
        <v>13.666666666666666</v>
      </c>
    </row>
    <row r="181" spans="1:25" s="1" customFormat="1" ht="32.15" customHeight="1" x14ac:dyDescent="0.3">
      <c r="A181" s="122" t="s">
        <v>421</v>
      </c>
      <c r="B181" s="112" t="s">
        <v>422</v>
      </c>
      <c r="C181" s="112" t="s">
        <v>64</v>
      </c>
      <c r="D181" s="4" t="s">
        <v>29</v>
      </c>
      <c r="E181" s="4" t="s">
        <v>18</v>
      </c>
      <c r="F181" s="8">
        <v>31754370</v>
      </c>
      <c r="G181" s="76" t="s">
        <v>619</v>
      </c>
      <c r="H181" s="83" t="s">
        <v>623</v>
      </c>
      <c r="I181" s="76" t="s">
        <v>622</v>
      </c>
      <c r="J181" s="79"/>
      <c r="K181" s="79"/>
      <c r="L181" s="85">
        <v>4</v>
      </c>
      <c r="M181" s="76">
        <v>4</v>
      </c>
      <c r="N181" s="85">
        <v>4</v>
      </c>
      <c r="O181" s="76">
        <v>4</v>
      </c>
      <c r="P181" s="85">
        <v>2</v>
      </c>
      <c r="Q181" s="76">
        <v>5</v>
      </c>
      <c r="R181" s="85">
        <v>0</v>
      </c>
      <c r="S181" s="76">
        <v>3</v>
      </c>
      <c r="T181" s="92">
        <f t="shared" si="8"/>
        <v>10</v>
      </c>
      <c r="U181" s="95">
        <f t="shared" si="9"/>
        <v>16</v>
      </c>
      <c r="V181" s="67">
        <f t="shared" si="11"/>
        <v>6</v>
      </c>
      <c r="W181" s="67" t="str">
        <f>IF(V181&gt;(MEDIAN(Scoring!V:V)+_xlfn.STDEV.P(Scoring!V:V)),"YES","")</f>
        <v>YES</v>
      </c>
      <c r="X181" s="67">
        <f>IF($W181="YES",VLOOKUP($A181,'Editors Rescore'!$A$2:$M$63,13,FALSE),"")</f>
        <v>15</v>
      </c>
      <c r="Y181" s="81">
        <f t="shared" si="10"/>
        <v>13.666666666666666</v>
      </c>
    </row>
    <row r="182" spans="1:25" s="1" customFormat="1" ht="16" customHeight="1" x14ac:dyDescent="0.3">
      <c r="A182" s="128" t="s">
        <v>712</v>
      </c>
      <c r="B182" s="128" t="s">
        <v>713</v>
      </c>
      <c r="C182" s="114" t="s">
        <v>154</v>
      </c>
      <c r="D182" s="93" t="s">
        <v>25</v>
      </c>
      <c r="E182" s="93" t="s">
        <v>18</v>
      </c>
      <c r="F182" s="96">
        <v>30994099</v>
      </c>
      <c r="G182" s="97" t="s">
        <v>616</v>
      </c>
      <c r="H182" s="98" t="s">
        <v>465</v>
      </c>
      <c r="I182" s="97" t="s">
        <v>604</v>
      </c>
      <c r="J182" s="99"/>
      <c r="K182" s="99"/>
      <c r="L182" s="98">
        <v>4</v>
      </c>
      <c r="M182" s="97">
        <v>5</v>
      </c>
      <c r="N182" s="98">
        <v>3</v>
      </c>
      <c r="O182" s="97">
        <v>3</v>
      </c>
      <c r="P182" s="98">
        <v>3</v>
      </c>
      <c r="Q182" s="97">
        <v>5</v>
      </c>
      <c r="R182" s="98">
        <v>0</v>
      </c>
      <c r="S182" s="97">
        <v>5</v>
      </c>
      <c r="T182" s="92">
        <f t="shared" si="8"/>
        <v>10</v>
      </c>
      <c r="U182" s="95">
        <f t="shared" si="9"/>
        <v>18</v>
      </c>
      <c r="V182" s="67">
        <f t="shared" si="11"/>
        <v>8</v>
      </c>
      <c r="W182" s="67" t="str">
        <f>IF(V182&gt;(MEDIAN(Scoring!V:V)+_xlfn.STDEV.P(Scoring!V:V)),"YES","")</f>
        <v>YES</v>
      </c>
      <c r="X182" s="67">
        <f>IF($W182="YES",VLOOKUP($A182,'Editors Rescore'!$A$2:$M$63,13,FALSE),"")</f>
        <v>13</v>
      </c>
      <c r="Y182" s="81">
        <f t="shared" si="10"/>
        <v>13.666666666666666</v>
      </c>
    </row>
    <row r="183" spans="1:25" s="1" customFormat="1" ht="16" customHeight="1" x14ac:dyDescent="0.3">
      <c r="A183" s="114" t="s">
        <v>254</v>
      </c>
      <c r="B183" s="134" t="s">
        <v>781</v>
      </c>
      <c r="C183" s="113" t="s">
        <v>127</v>
      </c>
      <c r="D183" s="97" t="s">
        <v>17</v>
      </c>
      <c r="E183" s="93" t="s">
        <v>18</v>
      </c>
      <c r="F183" s="96">
        <v>31104909</v>
      </c>
      <c r="G183" s="93" t="s">
        <v>128</v>
      </c>
      <c r="H183" s="92" t="s">
        <v>609</v>
      </c>
      <c r="I183" s="93" t="s">
        <v>610</v>
      </c>
      <c r="J183" s="94"/>
      <c r="K183" s="94"/>
      <c r="L183" s="92">
        <v>4</v>
      </c>
      <c r="M183" s="93">
        <v>4</v>
      </c>
      <c r="N183" s="92">
        <v>4</v>
      </c>
      <c r="O183" s="93">
        <v>4</v>
      </c>
      <c r="P183" s="92">
        <v>5</v>
      </c>
      <c r="Q183" s="93">
        <v>2</v>
      </c>
      <c r="R183" s="92">
        <v>2</v>
      </c>
      <c r="S183" s="93">
        <v>1</v>
      </c>
      <c r="T183" s="92">
        <f t="shared" si="8"/>
        <v>15</v>
      </c>
      <c r="U183" s="95">
        <f t="shared" si="9"/>
        <v>11</v>
      </c>
      <c r="V183" s="67">
        <f t="shared" si="11"/>
        <v>4</v>
      </c>
      <c r="W183" s="67" t="str">
        <f>IF(V183&gt;(MEDIAN(Scoring!V:V)+_xlfn.STDEV.P(Scoring!V:V)),"YES","")</f>
        <v>YES</v>
      </c>
      <c r="X183" s="67">
        <f>IF($W183="YES",VLOOKUP($A183,'Editors Rescore'!$A$2:$M$63,13,FALSE),"")</f>
        <v>15</v>
      </c>
      <c r="Y183" s="81">
        <f t="shared" si="10"/>
        <v>13.666666666666666</v>
      </c>
    </row>
    <row r="184" spans="1:25" s="1" customFormat="1" ht="16" customHeight="1" x14ac:dyDescent="0.3">
      <c r="A184" s="122" t="s">
        <v>388</v>
      </c>
      <c r="B184" s="115" t="s">
        <v>389</v>
      </c>
      <c r="C184" s="115" t="s">
        <v>14</v>
      </c>
      <c r="D184" s="76" t="s">
        <v>17</v>
      </c>
      <c r="E184" s="4" t="s">
        <v>18</v>
      </c>
      <c r="F184" s="4">
        <v>31805859</v>
      </c>
      <c r="G184" s="4" t="s">
        <v>128</v>
      </c>
      <c r="H184" s="5" t="s">
        <v>609</v>
      </c>
      <c r="I184" s="4" t="s">
        <v>610</v>
      </c>
      <c r="J184" s="11"/>
      <c r="K184" s="11"/>
      <c r="L184" s="6">
        <v>4</v>
      </c>
      <c r="M184" s="4">
        <v>3</v>
      </c>
      <c r="N184" s="6">
        <v>4</v>
      </c>
      <c r="O184" s="4">
        <v>4</v>
      </c>
      <c r="P184" s="6">
        <v>5</v>
      </c>
      <c r="Q184" s="4">
        <v>5</v>
      </c>
      <c r="R184" s="6">
        <v>4</v>
      </c>
      <c r="S184" s="4">
        <v>1</v>
      </c>
      <c r="T184" s="92">
        <f t="shared" si="8"/>
        <v>17</v>
      </c>
      <c r="U184" s="95">
        <f t="shared" si="9"/>
        <v>13</v>
      </c>
      <c r="V184" s="67">
        <f t="shared" si="11"/>
        <v>4</v>
      </c>
      <c r="W184" s="67" t="str">
        <f>IF(V184&gt;(MEDIAN(Scoring!V:V)+_xlfn.STDEV.P(Scoring!V:V)),"YES","")</f>
        <v>YES</v>
      </c>
      <c r="X184" s="67">
        <f>IF($W184="YES",VLOOKUP($A184,'Editors Rescore'!$A$2:$M$63,13,FALSE),"")</f>
        <v>11</v>
      </c>
      <c r="Y184" s="81">
        <f t="shared" si="10"/>
        <v>13.666666666666666</v>
      </c>
    </row>
    <row r="185" spans="1:25" s="1" customFormat="1" ht="16" customHeight="1" x14ac:dyDescent="0.3">
      <c r="A185" s="114" t="s">
        <v>278</v>
      </c>
      <c r="B185" s="113" t="s">
        <v>279</v>
      </c>
      <c r="C185" s="113" t="s">
        <v>280</v>
      </c>
      <c r="D185" s="97" t="s">
        <v>17</v>
      </c>
      <c r="E185" s="93" t="s">
        <v>18</v>
      </c>
      <c r="F185" s="96">
        <v>31297479</v>
      </c>
      <c r="G185" s="93" t="s">
        <v>128</v>
      </c>
      <c r="H185" s="92" t="s">
        <v>607</v>
      </c>
      <c r="I185" s="93" t="s">
        <v>608</v>
      </c>
      <c r="J185" s="94"/>
      <c r="K185" s="94"/>
      <c r="L185" s="92">
        <v>3</v>
      </c>
      <c r="M185" s="93">
        <v>4</v>
      </c>
      <c r="N185" s="92">
        <v>4</v>
      </c>
      <c r="O185" s="93">
        <v>4</v>
      </c>
      <c r="P185" s="92">
        <v>5</v>
      </c>
      <c r="Q185" s="93">
        <v>3</v>
      </c>
      <c r="R185" s="92">
        <v>1</v>
      </c>
      <c r="S185" s="93">
        <v>3</v>
      </c>
      <c r="T185" s="92">
        <f t="shared" si="8"/>
        <v>13</v>
      </c>
      <c r="U185" s="95">
        <f t="shared" si="9"/>
        <v>14</v>
      </c>
      <c r="V185" s="67">
        <f t="shared" si="11"/>
        <v>1</v>
      </c>
      <c r="W185" s="67" t="str">
        <f>IF(V185&gt;(MEDIAN(Scoring!V:V)+_xlfn.STDEV.P(Scoring!V:V)),"YES","")</f>
        <v/>
      </c>
      <c r="X185" s="67" t="str">
        <f>IF($W185="YES",VLOOKUP($A185,'Editors Rescore'!$A$2:$M$63,13,FALSE),"")</f>
        <v/>
      </c>
      <c r="Y185" s="81">
        <f t="shared" si="10"/>
        <v>13.5</v>
      </c>
    </row>
    <row r="186" spans="1:25" s="1" customFormat="1" ht="32.15" customHeight="1" x14ac:dyDescent="0.3">
      <c r="A186" s="122" t="s">
        <v>470</v>
      </c>
      <c r="B186" s="115" t="s">
        <v>722</v>
      </c>
      <c r="C186" s="115" t="s">
        <v>471</v>
      </c>
      <c r="D186" s="76" t="s">
        <v>25</v>
      </c>
      <c r="E186" s="4" t="s">
        <v>18</v>
      </c>
      <c r="F186" s="4">
        <v>31480818</v>
      </c>
      <c r="G186" s="4" t="s">
        <v>616</v>
      </c>
      <c r="H186" s="5" t="s">
        <v>604</v>
      </c>
      <c r="I186" s="4" t="s">
        <v>465</v>
      </c>
      <c r="J186" s="11"/>
      <c r="K186" s="11"/>
      <c r="L186" s="6">
        <v>4</v>
      </c>
      <c r="M186" s="4">
        <v>4</v>
      </c>
      <c r="N186" s="6">
        <v>0</v>
      </c>
      <c r="O186" s="4">
        <v>0</v>
      </c>
      <c r="P186" s="6">
        <v>5</v>
      </c>
      <c r="Q186" s="4">
        <v>5</v>
      </c>
      <c r="R186" s="6">
        <v>4</v>
      </c>
      <c r="S186" s="4">
        <v>5</v>
      </c>
      <c r="T186" s="92">
        <f t="shared" si="8"/>
        <v>13</v>
      </c>
      <c r="U186" s="95">
        <f t="shared" si="9"/>
        <v>14</v>
      </c>
      <c r="V186" s="67">
        <f t="shared" si="11"/>
        <v>1</v>
      </c>
      <c r="W186" s="67" t="str">
        <f>IF(V186&gt;(MEDIAN(Scoring!V:V)+_xlfn.STDEV.P(Scoring!V:V)),"YES","")</f>
        <v/>
      </c>
      <c r="X186" s="67" t="str">
        <f>IF($W186="YES",VLOOKUP($A186,'Editors Rescore'!$A$2:$M$63,13,FALSE),"")</f>
        <v/>
      </c>
      <c r="Y186" s="81">
        <f t="shared" si="10"/>
        <v>13.5</v>
      </c>
    </row>
    <row r="187" spans="1:25" s="1" customFormat="1" ht="16" customHeight="1" x14ac:dyDescent="0.3">
      <c r="A187" s="122" t="s">
        <v>90</v>
      </c>
      <c r="B187" s="115" t="s">
        <v>748</v>
      </c>
      <c r="C187" s="115" t="s">
        <v>464</v>
      </c>
      <c r="D187" s="76" t="s">
        <v>17</v>
      </c>
      <c r="E187" s="4" t="s">
        <v>18</v>
      </c>
      <c r="F187" s="8">
        <v>31641323</v>
      </c>
      <c r="G187" s="4" t="s">
        <v>20</v>
      </c>
      <c r="H187" s="5" t="s">
        <v>606</v>
      </c>
      <c r="I187" s="4" t="s">
        <v>21</v>
      </c>
      <c r="J187" s="11"/>
      <c r="K187" s="11"/>
      <c r="L187" s="6">
        <v>4</v>
      </c>
      <c r="M187" s="4">
        <v>4</v>
      </c>
      <c r="N187" s="6">
        <v>4</v>
      </c>
      <c r="O187" s="4">
        <v>4</v>
      </c>
      <c r="P187" s="6">
        <v>3</v>
      </c>
      <c r="Q187" s="4">
        <v>3</v>
      </c>
      <c r="R187" s="6">
        <v>3</v>
      </c>
      <c r="S187" s="4">
        <v>2</v>
      </c>
      <c r="T187" s="92">
        <f t="shared" si="8"/>
        <v>14</v>
      </c>
      <c r="U187" s="95">
        <f t="shared" si="9"/>
        <v>13</v>
      </c>
      <c r="V187" s="67">
        <f t="shared" si="11"/>
        <v>1</v>
      </c>
      <c r="W187" s="67" t="str">
        <f>IF(V187&gt;(MEDIAN(Scoring!V:V)+_xlfn.STDEV.P(Scoring!V:V)),"YES","")</f>
        <v/>
      </c>
      <c r="X187" s="67" t="str">
        <f>IF($W187="YES",VLOOKUP($A187,'Editors Rescore'!$A$2:$M$63,13,FALSE),"")</f>
        <v/>
      </c>
      <c r="Y187" s="81">
        <f t="shared" si="10"/>
        <v>13.5</v>
      </c>
    </row>
    <row r="188" spans="1:25" s="1" customFormat="1" ht="16" customHeight="1" x14ac:dyDescent="0.3">
      <c r="A188" s="122" t="s">
        <v>540</v>
      </c>
      <c r="B188" s="112" t="s">
        <v>751</v>
      </c>
      <c r="C188" s="112" t="s">
        <v>98</v>
      </c>
      <c r="D188" s="4" t="s">
        <v>29</v>
      </c>
      <c r="E188" s="4" t="s">
        <v>18</v>
      </c>
      <c r="F188" s="4">
        <v>31642542</v>
      </c>
      <c r="G188" s="4" t="s">
        <v>605</v>
      </c>
      <c r="H188" s="77" t="s">
        <v>626</v>
      </c>
      <c r="I188" s="4" t="s">
        <v>318</v>
      </c>
      <c r="J188" s="11"/>
      <c r="K188" s="11"/>
      <c r="L188" s="77">
        <v>3</v>
      </c>
      <c r="M188" s="4">
        <v>3</v>
      </c>
      <c r="N188" s="77">
        <v>2</v>
      </c>
      <c r="O188" s="4">
        <v>2</v>
      </c>
      <c r="P188" s="77">
        <v>5</v>
      </c>
      <c r="Q188" s="4">
        <v>4</v>
      </c>
      <c r="R188" s="77">
        <v>5</v>
      </c>
      <c r="S188" s="4">
        <v>3</v>
      </c>
      <c r="T188" s="92">
        <f t="shared" si="8"/>
        <v>15</v>
      </c>
      <c r="U188" s="95">
        <f t="shared" si="9"/>
        <v>12</v>
      </c>
      <c r="V188" s="67">
        <f t="shared" si="11"/>
        <v>3</v>
      </c>
      <c r="W188" s="67" t="str">
        <f>IF(V188&gt;(MEDIAN(Scoring!V:V)+_xlfn.STDEV.P(Scoring!V:V)),"YES","")</f>
        <v/>
      </c>
      <c r="X188" s="67" t="str">
        <f>IF($W188="YES",VLOOKUP($A188,'Editors Rescore'!$A$2:$M$63,13,FALSE),"")</f>
        <v/>
      </c>
      <c r="Y188" s="81">
        <f t="shared" si="10"/>
        <v>13.5</v>
      </c>
    </row>
    <row r="189" spans="1:25" s="1" customFormat="1" ht="32.15" customHeight="1" x14ac:dyDescent="0.3">
      <c r="A189" s="131" t="s">
        <v>763</v>
      </c>
      <c r="B189" s="115" t="s">
        <v>762</v>
      </c>
      <c r="C189" s="115"/>
      <c r="D189" s="76" t="s">
        <v>29</v>
      </c>
      <c r="E189" s="4" t="s">
        <v>18</v>
      </c>
      <c r="F189" s="4"/>
      <c r="G189" s="76" t="s">
        <v>624</v>
      </c>
      <c r="H189" s="83" t="s">
        <v>366</v>
      </c>
      <c r="I189" s="76" t="s">
        <v>625</v>
      </c>
      <c r="J189" s="79"/>
      <c r="K189" s="79"/>
      <c r="L189" s="85">
        <v>3</v>
      </c>
      <c r="M189" s="76">
        <v>3</v>
      </c>
      <c r="N189" s="85">
        <v>3</v>
      </c>
      <c r="O189" s="76">
        <v>4</v>
      </c>
      <c r="P189" s="85">
        <v>5</v>
      </c>
      <c r="Q189" s="76">
        <v>5</v>
      </c>
      <c r="R189" s="85">
        <v>1</v>
      </c>
      <c r="S189" s="76">
        <v>3</v>
      </c>
      <c r="T189" s="92">
        <f t="shared" si="8"/>
        <v>12</v>
      </c>
      <c r="U189" s="95">
        <f t="shared" si="9"/>
        <v>15</v>
      </c>
      <c r="V189" s="67">
        <f t="shared" si="11"/>
        <v>3</v>
      </c>
      <c r="W189" s="67" t="str">
        <f>IF(V189&gt;(MEDIAN(Scoring!V:V)+_xlfn.STDEV.P(Scoring!V:V)),"YES","")</f>
        <v/>
      </c>
      <c r="X189" s="67" t="str">
        <f>IF($W189="YES",VLOOKUP($A189,'Editors Rescore'!$A$2:$M$63,13,FALSE),"")</f>
        <v/>
      </c>
      <c r="Y189" s="81">
        <f t="shared" si="10"/>
        <v>13.5</v>
      </c>
    </row>
    <row r="190" spans="1:25" s="1" customFormat="1" ht="32.15" customHeight="1" x14ac:dyDescent="0.3">
      <c r="A190" s="114" t="s">
        <v>248</v>
      </c>
      <c r="B190" s="134" t="s">
        <v>771</v>
      </c>
      <c r="C190" s="113" t="s">
        <v>249</v>
      </c>
      <c r="D190" s="97" t="s">
        <v>17</v>
      </c>
      <c r="E190" s="93" t="s">
        <v>18</v>
      </c>
      <c r="F190" s="96">
        <v>30699071</v>
      </c>
      <c r="G190" s="93" t="s">
        <v>616</v>
      </c>
      <c r="H190" s="92" t="s">
        <v>604</v>
      </c>
      <c r="I190" s="93" t="s">
        <v>465</v>
      </c>
      <c r="J190" s="94"/>
      <c r="K190" s="94"/>
      <c r="L190" s="92">
        <v>4</v>
      </c>
      <c r="M190" s="93">
        <v>4</v>
      </c>
      <c r="N190" s="92">
        <v>3</v>
      </c>
      <c r="O190" s="93">
        <v>3</v>
      </c>
      <c r="P190" s="92">
        <v>3</v>
      </c>
      <c r="Q190" s="93">
        <v>5</v>
      </c>
      <c r="R190" s="92">
        <v>2</v>
      </c>
      <c r="S190" s="93">
        <v>3</v>
      </c>
      <c r="T190" s="92">
        <f t="shared" si="8"/>
        <v>12</v>
      </c>
      <c r="U190" s="95">
        <f t="shared" si="9"/>
        <v>15</v>
      </c>
      <c r="V190" s="67">
        <f t="shared" si="11"/>
        <v>3</v>
      </c>
      <c r="W190" s="67" t="str">
        <f>IF(V190&gt;(MEDIAN(Scoring!V:V)+_xlfn.STDEV.P(Scoring!V:V)),"YES","")</f>
        <v/>
      </c>
      <c r="X190" s="67" t="str">
        <f>IF($W190="YES",VLOOKUP($A190,'Editors Rescore'!$A$2:$M$63,13,FALSE),"")</f>
        <v/>
      </c>
      <c r="Y190" s="81">
        <f t="shared" si="10"/>
        <v>13.5</v>
      </c>
    </row>
    <row r="191" spans="1:25" s="1" customFormat="1" ht="16" customHeight="1" x14ac:dyDescent="0.3">
      <c r="A191" s="114" t="s">
        <v>63</v>
      </c>
      <c r="B191" s="113" t="s">
        <v>65</v>
      </c>
      <c r="C191" s="113" t="s">
        <v>14</v>
      </c>
      <c r="D191" s="97" t="s">
        <v>17</v>
      </c>
      <c r="E191" s="93" t="s">
        <v>18</v>
      </c>
      <c r="F191" s="96">
        <v>30819092</v>
      </c>
      <c r="G191" s="97" t="s">
        <v>20</v>
      </c>
      <c r="H191" s="98" t="s">
        <v>21</v>
      </c>
      <c r="I191" s="97" t="s">
        <v>606</v>
      </c>
      <c r="J191" s="99"/>
      <c r="K191" s="99"/>
      <c r="L191" s="98">
        <v>3</v>
      </c>
      <c r="M191" s="97">
        <v>4</v>
      </c>
      <c r="N191" s="98">
        <v>4</v>
      </c>
      <c r="O191" s="97">
        <v>4</v>
      </c>
      <c r="P191" s="98">
        <v>3</v>
      </c>
      <c r="Q191" s="97">
        <v>3</v>
      </c>
      <c r="R191" s="98">
        <v>2</v>
      </c>
      <c r="S191" s="97">
        <v>4</v>
      </c>
      <c r="T191" s="92">
        <f t="shared" si="8"/>
        <v>12</v>
      </c>
      <c r="U191" s="95">
        <f t="shared" si="9"/>
        <v>15</v>
      </c>
      <c r="V191" s="67">
        <f t="shared" si="11"/>
        <v>3</v>
      </c>
      <c r="W191" s="67" t="str">
        <f>IF(V191&gt;(MEDIAN(Scoring!V:V)+_xlfn.STDEV.P(Scoring!V:V)),"YES","")</f>
        <v/>
      </c>
      <c r="X191" s="67" t="str">
        <f>IF($W191="YES",VLOOKUP($A191,'Editors Rescore'!$A$2:$M$63,13,FALSE),"")</f>
        <v/>
      </c>
      <c r="Y191" s="81">
        <f t="shared" si="10"/>
        <v>13.5</v>
      </c>
    </row>
    <row r="192" spans="1:25" s="1" customFormat="1" ht="16" customHeight="1" x14ac:dyDescent="0.3">
      <c r="A192" s="123" t="s">
        <v>37</v>
      </c>
      <c r="B192" s="134" t="s">
        <v>38</v>
      </c>
      <c r="C192" s="113" t="s">
        <v>39</v>
      </c>
      <c r="D192" s="104" t="s">
        <v>17</v>
      </c>
      <c r="E192" s="103" t="s">
        <v>19</v>
      </c>
      <c r="F192" s="103">
        <v>30852774</v>
      </c>
      <c r="G192" s="103" t="s">
        <v>619</v>
      </c>
      <c r="H192" s="107" t="s">
        <v>620</v>
      </c>
      <c r="I192" s="103" t="s">
        <v>621</v>
      </c>
      <c r="J192" s="107">
        <v>5</v>
      </c>
      <c r="K192" s="103">
        <v>5</v>
      </c>
      <c r="L192" s="107">
        <v>2</v>
      </c>
      <c r="M192" s="103">
        <v>2</v>
      </c>
      <c r="N192" s="108"/>
      <c r="O192" s="108"/>
      <c r="P192" s="107">
        <v>5</v>
      </c>
      <c r="Q192" s="103">
        <v>5</v>
      </c>
      <c r="R192" s="107">
        <v>1</v>
      </c>
      <c r="S192" s="103">
        <v>2</v>
      </c>
      <c r="T192" s="92">
        <f t="shared" si="8"/>
        <v>13</v>
      </c>
      <c r="U192" s="95">
        <f t="shared" si="9"/>
        <v>14</v>
      </c>
      <c r="V192" s="67">
        <f t="shared" si="11"/>
        <v>1</v>
      </c>
      <c r="W192" s="67" t="str">
        <f>IF(V192&gt;(MEDIAN(Scoring!V:V)+_xlfn.STDEV.P(Scoring!V:V)),"YES","")</f>
        <v/>
      </c>
      <c r="X192" s="67" t="str">
        <f>IF($W192="YES",VLOOKUP($A192,'Editors Rescore'!$A$2:$M$63,13,FALSE),"")</f>
        <v/>
      </c>
      <c r="Y192" s="81">
        <f t="shared" si="10"/>
        <v>13.5</v>
      </c>
    </row>
    <row r="193" spans="1:25" s="1" customFormat="1" ht="32.15" customHeight="1" x14ac:dyDescent="0.3">
      <c r="A193" s="114" t="s">
        <v>255</v>
      </c>
      <c r="B193" s="134" t="s">
        <v>828</v>
      </c>
      <c r="C193" s="113" t="s">
        <v>256</v>
      </c>
      <c r="D193" s="97" t="s">
        <v>29</v>
      </c>
      <c r="E193" s="93" t="s">
        <v>18</v>
      </c>
      <c r="F193" s="69">
        <v>31269133</v>
      </c>
      <c r="G193" s="93" t="s">
        <v>128</v>
      </c>
      <c r="H193" s="98" t="s">
        <v>609</v>
      </c>
      <c r="I193" s="93" t="s">
        <v>610</v>
      </c>
      <c r="J193" s="94"/>
      <c r="K193" s="94"/>
      <c r="L193" s="98">
        <v>3</v>
      </c>
      <c r="M193" s="93">
        <v>5</v>
      </c>
      <c r="N193" s="98">
        <v>3</v>
      </c>
      <c r="O193" s="93">
        <v>3</v>
      </c>
      <c r="P193" s="98">
        <v>5</v>
      </c>
      <c r="Q193" s="93">
        <v>5</v>
      </c>
      <c r="R193" s="98">
        <v>3</v>
      </c>
      <c r="S193" s="93">
        <v>0</v>
      </c>
      <c r="T193" s="92">
        <f t="shared" si="8"/>
        <v>14</v>
      </c>
      <c r="U193" s="95">
        <f t="shared" si="9"/>
        <v>13</v>
      </c>
      <c r="V193" s="67">
        <f t="shared" si="11"/>
        <v>1</v>
      </c>
      <c r="W193" s="67" t="str">
        <f>IF(V193&gt;(MEDIAN(Scoring!V:V)+_xlfn.STDEV.P(Scoring!V:V)),"YES","")</f>
        <v/>
      </c>
      <c r="X193" s="67" t="str">
        <f>IF($W193="YES",VLOOKUP($A193,'Editors Rescore'!$A$2:$M$63,13,FALSE),"")</f>
        <v/>
      </c>
      <c r="Y193" s="81">
        <f t="shared" si="10"/>
        <v>13.5</v>
      </c>
    </row>
    <row r="194" spans="1:25" s="1" customFormat="1" ht="16" customHeight="1" x14ac:dyDescent="0.3">
      <c r="A194" s="114" t="s">
        <v>42</v>
      </c>
      <c r="B194" s="147" t="s">
        <v>846</v>
      </c>
      <c r="C194" s="113" t="s">
        <v>43</v>
      </c>
      <c r="D194" s="97" t="s">
        <v>29</v>
      </c>
      <c r="E194" s="93" t="s">
        <v>18</v>
      </c>
      <c r="F194" s="96">
        <v>30357467</v>
      </c>
      <c r="G194" s="93" t="s">
        <v>20</v>
      </c>
      <c r="H194" s="92" t="s">
        <v>606</v>
      </c>
      <c r="I194" s="93" t="s">
        <v>21</v>
      </c>
      <c r="J194" s="94"/>
      <c r="K194" s="94"/>
      <c r="L194" s="92">
        <v>4</v>
      </c>
      <c r="M194" s="93">
        <v>4</v>
      </c>
      <c r="N194" s="92">
        <v>3</v>
      </c>
      <c r="O194" s="93">
        <v>3</v>
      </c>
      <c r="P194" s="92">
        <v>3</v>
      </c>
      <c r="Q194" s="93">
        <v>4</v>
      </c>
      <c r="R194" s="92">
        <v>4</v>
      </c>
      <c r="S194" s="93">
        <v>2</v>
      </c>
      <c r="T194" s="92">
        <f t="shared" si="8"/>
        <v>14</v>
      </c>
      <c r="U194" s="95">
        <f t="shared" si="9"/>
        <v>13</v>
      </c>
      <c r="V194" s="67">
        <f t="shared" si="11"/>
        <v>1</v>
      </c>
      <c r="W194" s="67" t="str">
        <f>IF(V194&gt;(MEDIAN(Scoring!V:V)+_xlfn.STDEV.P(Scoring!V:V)),"YES","")</f>
        <v/>
      </c>
      <c r="X194" s="67" t="str">
        <f>IF($W194="YES",VLOOKUP($A194,'Editors Rescore'!$A$2:$M$63,13,FALSE),"")</f>
        <v/>
      </c>
      <c r="Y194" s="81">
        <f t="shared" si="10"/>
        <v>13.5</v>
      </c>
    </row>
    <row r="195" spans="1:25" s="1" customFormat="1" ht="16" customHeight="1" x14ac:dyDescent="0.3">
      <c r="A195" s="2" t="s">
        <v>324</v>
      </c>
      <c r="B195" s="121" t="s">
        <v>855</v>
      </c>
      <c r="C195" s="121" t="s">
        <v>212</v>
      </c>
      <c r="D195" s="82" t="s">
        <v>17</v>
      </c>
      <c r="E195" s="68" t="s">
        <v>18</v>
      </c>
      <c r="F195" s="69">
        <v>31029813</v>
      </c>
      <c r="G195" s="68" t="s">
        <v>605</v>
      </c>
      <c r="H195" s="71" t="s">
        <v>626</v>
      </c>
      <c r="I195" s="68" t="s">
        <v>318</v>
      </c>
      <c r="J195" s="72"/>
      <c r="K195" s="72"/>
      <c r="L195" s="71">
        <v>3</v>
      </c>
      <c r="M195" s="68">
        <v>4</v>
      </c>
      <c r="N195" s="71">
        <v>1</v>
      </c>
      <c r="O195" s="68">
        <v>2</v>
      </c>
      <c r="P195" s="71">
        <v>4</v>
      </c>
      <c r="Q195" s="68">
        <v>4</v>
      </c>
      <c r="R195" s="71">
        <v>4</v>
      </c>
      <c r="S195" s="68">
        <v>5</v>
      </c>
      <c r="T195" s="92">
        <f t="shared" ref="T195:T258" si="12">J195+L195+N195+P195+R195</f>
        <v>12</v>
      </c>
      <c r="U195" s="95">
        <f t="shared" ref="U195:U258" si="13">K195+M195+O195+Q195+S195</f>
        <v>15</v>
      </c>
      <c r="V195" s="67">
        <f t="shared" si="11"/>
        <v>3</v>
      </c>
      <c r="W195" s="67" t="str">
        <f>IF(V195&gt;(MEDIAN(Scoring!V:V)+_xlfn.STDEV.P(Scoring!V:V)),"YES","")</f>
        <v/>
      </c>
      <c r="X195" s="67" t="str">
        <f>IF($W195="YES",VLOOKUP($A195,'Editors Rescore'!$A$2:$M$63,13,FALSE),"")</f>
        <v/>
      </c>
      <c r="Y195" s="81">
        <f t="shared" ref="Y195:Y258" si="14">IF(W195="YES",AVERAGE(T195,U195,X195),AVERAGE(T195,U195))</f>
        <v>13.5</v>
      </c>
    </row>
    <row r="196" spans="1:25" s="1" customFormat="1" ht="16" customHeight="1" x14ac:dyDescent="0.3">
      <c r="A196" s="138" t="s">
        <v>871</v>
      </c>
      <c r="B196" s="137" t="s">
        <v>872</v>
      </c>
      <c r="C196" s="113" t="s">
        <v>26</v>
      </c>
      <c r="D196" s="97" t="s">
        <v>25</v>
      </c>
      <c r="E196" s="93" t="s">
        <v>18</v>
      </c>
      <c r="F196" s="96">
        <v>30894150</v>
      </c>
      <c r="G196" s="93" t="s">
        <v>20</v>
      </c>
      <c r="H196" s="92" t="s">
        <v>606</v>
      </c>
      <c r="I196" s="93" t="s">
        <v>21</v>
      </c>
      <c r="J196" s="94"/>
      <c r="K196" s="94"/>
      <c r="L196" s="92">
        <v>3</v>
      </c>
      <c r="M196" s="93">
        <v>3</v>
      </c>
      <c r="N196" s="92">
        <v>4</v>
      </c>
      <c r="O196" s="93">
        <v>4</v>
      </c>
      <c r="P196" s="92">
        <v>3</v>
      </c>
      <c r="Q196" s="93">
        <v>3</v>
      </c>
      <c r="R196" s="92">
        <v>4</v>
      </c>
      <c r="S196" s="93">
        <v>3</v>
      </c>
      <c r="T196" s="92">
        <f t="shared" si="12"/>
        <v>14</v>
      </c>
      <c r="U196" s="95">
        <f t="shared" si="13"/>
        <v>13</v>
      </c>
      <c r="V196" s="67">
        <f t="shared" ref="V196:V259" si="15">ABS(T196-U196)</f>
        <v>1</v>
      </c>
      <c r="W196" s="67" t="str">
        <f>IF(V196&gt;(MEDIAN(Scoring!V:V)+_xlfn.STDEV.P(Scoring!V:V)),"YES","")</f>
        <v/>
      </c>
      <c r="X196" s="67" t="str">
        <f>IF($W196="YES",VLOOKUP($A196,'Editors Rescore'!$A$2:$M$63,13,FALSE),"")</f>
        <v/>
      </c>
      <c r="Y196" s="81">
        <f t="shared" si="14"/>
        <v>13.5</v>
      </c>
    </row>
    <row r="197" spans="1:25" s="1" customFormat="1" ht="32.15" customHeight="1" x14ac:dyDescent="0.3">
      <c r="A197" s="114" t="s">
        <v>180</v>
      </c>
      <c r="B197" s="137" t="s">
        <v>870</v>
      </c>
      <c r="C197" s="113" t="s">
        <v>138</v>
      </c>
      <c r="D197" s="97" t="s">
        <v>17</v>
      </c>
      <c r="E197" s="93" t="s">
        <v>18</v>
      </c>
      <c r="F197" s="96">
        <v>30997158</v>
      </c>
      <c r="G197" s="93" t="s">
        <v>611</v>
      </c>
      <c r="H197" s="92" t="s">
        <v>615</v>
      </c>
      <c r="I197" s="93" t="s">
        <v>614</v>
      </c>
      <c r="J197" s="94"/>
      <c r="K197" s="94"/>
      <c r="L197" s="92">
        <v>3</v>
      </c>
      <c r="M197" s="93">
        <v>3</v>
      </c>
      <c r="N197" s="92">
        <v>2</v>
      </c>
      <c r="O197" s="93">
        <v>3</v>
      </c>
      <c r="P197" s="92">
        <v>5</v>
      </c>
      <c r="Q197" s="93">
        <v>5</v>
      </c>
      <c r="R197" s="92">
        <v>3</v>
      </c>
      <c r="S197" s="93">
        <v>3</v>
      </c>
      <c r="T197" s="92">
        <f t="shared" si="12"/>
        <v>13</v>
      </c>
      <c r="U197" s="95">
        <f t="shared" si="13"/>
        <v>14</v>
      </c>
      <c r="V197" s="67">
        <f t="shared" si="15"/>
        <v>1</v>
      </c>
      <c r="W197" s="67" t="str">
        <f>IF(V197&gt;(MEDIAN(Scoring!V:V)+_xlfn.STDEV.P(Scoring!V:V)),"YES","")</f>
        <v/>
      </c>
      <c r="X197" s="67" t="str">
        <f>IF($W197="YES",VLOOKUP($A197,'Editors Rescore'!$A$2:$M$63,13,FALSE),"")</f>
        <v/>
      </c>
      <c r="Y197" s="81">
        <f t="shared" si="14"/>
        <v>13.5</v>
      </c>
    </row>
    <row r="198" spans="1:25" s="1" customFormat="1" ht="16" customHeight="1" x14ac:dyDescent="0.3">
      <c r="A198" s="122" t="s">
        <v>575</v>
      </c>
      <c r="B198" s="112" t="s">
        <v>576</v>
      </c>
      <c r="C198" s="112" t="s">
        <v>577</v>
      </c>
      <c r="D198" s="4" t="s">
        <v>17</v>
      </c>
      <c r="E198" s="4" t="s">
        <v>19</v>
      </c>
      <c r="F198" s="4">
        <v>31232227</v>
      </c>
      <c r="G198" s="4" t="s">
        <v>616</v>
      </c>
      <c r="H198" s="5" t="s">
        <v>618</v>
      </c>
      <c r="I198" s="4" t="s">
        <v>617</v>
      </c>
      <c r="J198" s="5">
        <v>5</v>
      </c>
      <c r="K198" s="4">
        <v>5</v>
      </c>
      <c r="L198" s="5">
        <v>3</v>
      </c>
      <c r="M198" s="4">
        <v>2</v>
      </c>
      <c r="N198" s="11"/>
      <c r="O198" s="11"/>
      <c r="P198" s="5">
        <v>4</v>
      </c>
      <c r="Q198" s="4">
        <v>5</v>
      </c>
      <c r="R198" s="5">
        <v>1</v>
      </c>
      <c r="S198" s="4">
        <v>2</v>
      </c>
      <c r="T198" s="92">
        <f t="shared" si="12"/>
        <v>13</v>
      </c>
      <c r="U198" s="95">
        <f t="shared" si="13"/>
        <v>14</v>
      </c>
      <c r="V198" s="67">
        <f t="shared" si="15"/>
        <v>1</v>
      </c>
      <c r="W198" s="67" t="str">
        <f>IF(V198&gt;(MEDIAN(Scoring!V:V)+_xlfn.STDEV.P(Scoring!V:V)),"YES","")</f>
        <v/>
      </c>
      <c r="X198" s="67" t="str">
        <f>IF($W198="YES",VLOOKUP($A198,'Editors Rescore'!$A$2:$M$63,13,FALSE),"")</f>
        <v/>
      </c>
      <c r="Y198" s="81">
        <f t="shared" si="14"/>
        <v>13.5</v>
      </c>
    </row>
    <row r="199" spans="1:25" s="1" customFormat="1" ht="32.15" customHeight="1" x14ac:dyDescent="0.3">
      <c r="A199" s="122" t="s">
        <v>395</v>
      </c>
      <c r="B199" s="115" t="s">
        <v>396</v>
      </c>
      <c r="C199" s="115" t="s">
        <v>43</v>
      </c>
      <c r="D199" s="76" t="s">
        <v>17</v>
      </c>
      <c r="E199" s="4" t="s">
        <v>18</v>
      </c>
      <c r="F199" s="4">
        <v>31222639</v>
      </c>
      <c r="G199" s="4" t="s">
        <v>128</v>
      </c>
      <c r="H199" s="5" t="s">
        <v>609</v>
      </c>
      <c r="I199" s="4" t="s">
        <v>610</v>
      </c>
      <c r="J199" s="11"/>
      <c r="K199" s="11"/>
      <c r="L199" s="6">
        <v>4</v>
      </c>
      <c r="M199" s="4">
        <v>4</v>
      </c>
      <c r="N199" s="6">
        <v>4</v>
      </c>
      <c r="O199" s="4">
        <v>4</v>
      </c>
      <c r="P199" s="6">
        <v>5</v>
      </c>
      <c r="Q199" s="4">
        <v>4</v>
      </c>
      <c r="R199" s="6">
        <v>2</v>
      </c>
      <c r="S199" s="4">
        <v>0</v>
      </c>
      <c r="T199" s="92">
        <f t="shared" si="12"/>
        <v>15</v>
      </c>
      <c r="U199" s="95">
        <f t="shared" si="13"/>
        <v>12</v>
      </c>
      <c r="V199" s="67">
        <f t="shared" si="15"/>
        <v>3</v>
      </c>
      <c r="W199" s="67" t="str">
        <f>IF(V199&gt;(MEDIAN(Scoring!V:V)+_xlfn.STDEV.P(Scoring!V:V)),"YES","")</f>
        <v/>
      </c>
      <c r="X199" s="67" t="str">
        <f>IF($W199="YES",VLOOKUP($A199,'Editors Rescore'!$A$2:$M$63,13,FALSE),"")</f>
        <v/>
      </c>
      <c r="Y199" s="81">
        <f t="shared" si="14"/>
        <v>13.5</v>
      </c>
    </row>
    <row r="200" spans="1:25" s="1" customFormat="1" ht="16" customHeight="1" x14ac:dyDescent="0.3">
      <c r="A200" s="122" t="s">
        <v>525</v>
      </c>
      <c r="B200" s="112" t="s">
        <v>526</v>
      </c>
      <c r="C200" s="112" t="s">
        <v>527</v>
      </c>
      <c r="D200" s="4" t="s">
        <v>17</v>
      </c>
      <c r="E200" s="4" t="s">
        <v>18</v>
      </c>
      <c r="F200" s="4">
        <v>31637996</v>
      </c>
      <c r="G200" s="76" t="s">
        <v>611</v>
      </c>
      <c r="H200" s="83" t="s">
        <v>615</v>
      </c>
      <c r="I200" s="76" t="s">
        <v>614</v>
      </c>
      <c r="J200" s="79"/>
      <c r="K200" s="79"/>
      <c r="L200" s="85">
        <v>4</v>
      </c>
      <c r="M200" s="76">
        <v>3</v>
      </c>
      <c r="N200" s="85">
        <v>4</v>
      </c>
      <c r="O200" s="76">
        <v>4</v>
      </c>
      <c r="P200" s="85">
        <v>4</v>
      </c>
      <c r="Q200" s="76">
        <v>3</v>
      </c>
      <c r="R200" s="85">
        <v>2</v>
      </c>
      <c r="S200" s="76">
        <v>3</v>
      </c>
      <c r="T200" s="92">
        <f t="shared" si="12"/>
        <v>14</v>
      </c>
      <c r="U200" s="95">
        <f t="shared" si="13"/>
        <v>13</v>
      </c>
      <c r="V200" s="67">
        <f t="shared" si="15"/>
        <v>1</v>
      </c>
      <c r="W200" s="67" t="str">
        <f>IF(V200&gt;(MEDIAN(Scoring!V:V)+_xlfn.STDEV.P(Scoring!V:V)),"YES","")</f>
        <v/>
      </c>
      <c r="X200" s="67" t="str">
        <f>IF($W200="YES",VLOOKUP($A200,'Editors Rescore'!$A$2:$M$63,13,FALSE),"")</f>
        <v/>
      </c>
      <c r="Y200" s="81">
        <f t="shared" si="14"/>
        <v>13.5</v>
      </c>
    </row>
    <row r="201" spans="1:25" s="1" customFormat="1" ht="16" customHeight="1" x14ac:dyDescent="0.3">
      <c r="A201" s="122" t="s">
        <v>483</v>
      </c>
      <c r="B201" s="112" t="s">
        <v>924</v>
      </c>
      <c r="C201" s="112" t="s">
        <v>36</v>
      </c>
      <c r="D201" s="4" t="s">
        <v>25</v>
      </c>
      <c r="E201" s="4" t="s">
        <v>18</v>
      </c>
      <c r="F201" s="4">
        <v>31864671</v>
      </c>
      <c r="G201" s="4" t="s">
        <v>616</v>
      </c>
      <c r="H201" s="5" t="s">
        <v>617</v>
      </c>
      <c r="I201" s="4" t="s">
        <v>618</v>
      </c>
      <c r="J201" s="11"/>
      <c r="K201" s="11"/>
      <c r="L201" s="6">
        <v>4</v>
      </c>
      <c r="M201" s="4">
        <v>4</v>
      </c>
      <c r="N201" s="6">
        <v>4</v>
      </c>
      <c r="O201" s="4">
        <v>4</v>
      </c>
      <c r="P201" s="6">
        <v>3</v>
      </c>
      <c r="Q201" s="4">
        <v>3</v>
      </c>
      <c r="R201" s="6">
        <v>4</v>
      </c>
      <c r="S201" s="4">
        <v>1</v>
      </c>
      <c r="T201" s="92">
        <f t="shared" si="12"/>
        <v>15</v>
      </c>
      <c r="U201" s="95">
        <f t="shared" si="13"/>
        <v>12</v>
      </c>
      <c r="V201" s="67">
        <f t="shared" si="15"/>
        <v>3</v>
      </c>
      <c r="W201" s="67" t="str">
        <f>IF(V201&gt;(MEDIAN(Scoring!V:V)+_xlfn.STDEV.P(Scoring!V:V)),"YES","")</f>
        <v/>
      </c>
      <c r="X201" s="67" t="str">
        <f>IF($W201="YES",VLOOKUP($A201,'Editors Rescore'!$A$2:$M$63,13,FALSE),"")</f>
        <v/>
      </c>
      <c r="Y201" s="81">
        <f t="shared" si="14"/>
        <v>13.5</v>
      </c>
    </row>
    <row r="202" spans="1:25" s="1" customFormat="1" ht="16" customHeight="1" x14ac:dyDescent="0.3">
      <c r="A202" s="122" t="s">
        <v>381</v>
      </c>
      <c r="B202" s="117" t="s">
        <v>382</v>
      </c>
      <c r="C202" s="117" t="s">
        <v>101</v>
      </c>
      <c r="D202" s="74" t="s">
        <v>17</v>
      </c>
      <c r="E202" s="4" t="s">
        <v>18</v>
      </c>
      <c r="F202" s="4">
        <v>31053069</v>
      </c>
      <c r="G202" s="4" t="s">
        <v>624</v>
      </c>
      <c r="H202" s="5" t="s">
        <v>625</v>
      </c>
      <c r="I202" s="4" t="s">
        <v>366</v>
      </c>
      <c r="J202" s="11"/>
      <c r="K202" s="11"/>
      <c r="L202" s="6">
        <v>4</v>
      </c>
      <c r="M202" s="4">
        <v>4</v>
      </c>
      <c r="N202" s="6">
        <v>4</v>
      </c>
      <c r="O202" s="4">
        <v>4</v>
      </c>
      <c r="P202" s="6">
        <v>3</v>
      </c>
      <c r="Q202" s="4">
        <v>3</v>
      </c>
      <c r="R202" s="6">
        <v>3</v>
      </c>
      <c r="S202" s="4">
        <v>2</v>
      </c>
      <c r="T202" s="92">
        <f t="shared" si="12"/>
        <v>14</v>
      </c>
      <c r="U202" s="95">
        <f t="shared" si="13"/>
        <v>13</v>
      </c>
      <c r="V202" s="67">
        <f t="shared" si="15"/>
        <v>1</v>
      </c>
      <c r="W202" s="67" t="str">
        <f>IF(V202&gt;(MEDIAN(Scoring!V:V)+_xlfn.STDEV.P(Scoring!V:V)),"YES","")</f>
        <v/>
      </c>
      <c r="X202" s="67" t="str">
        <f>IF($W202="YES",VLOOKUP($A202,'Editors Rescore'!$A$2:$M$63,13,FALSE),"")</f>
        <v/>
      </c>
      <c r="Y202" s="81">
        <f t="shared" si="14"/>
        <v>13.5</v>
      </c>
    </row>
    <row r="203" spans="1:25" s="1" customFormat="1" ht="32.15" customHeight="1" x14ac:dyDescent="0.3">
      <c r="A203" s="122" t="s">
        <v>925</v>
      </c>
      <c r="B203" s="115" t="s">
        <v>926</v>
      </c>
      <c r="C203" s="115" t="s">
        <v>43</v>
      </c>
      <c r="D203" s="76" t="s">
        <v>29</v>
      </c>
      <c r="E203" s="4" t="s">
        <v>18</v>
      </c>
      <c r="F203" s="4">
        <v>31065777</v>
      </c>
      <c r="G203" s="4" t="s">
        <v>20</v>
      </c>
      <c r="H203" s="5" t="s">
        <v>21</v>
      </c>
      <c r="I203" s="4" t="s">
        <v>606</v>
      </c>
      <c r="J203" s="11"/>
      <c r="K203" s="11"/>
      <c r="L203" s="6">
        <v>3</v>
      </c>
      <c r="M203" s="4">
        <v>4</v>
      </c>
      <c r="N203" s="6">
        <v>4</v>
      </c>
      <c r="O203" s="4">
        <v>4</v>
      </c>
      <c r="P203" s="6">
        <v>5</v>
      </c>
      <c r="Q203" s="4">
        <v>3</v>
      </c>
      <c r="R203" s="6">
        <v>1</v>
      </c>
      <c r="S203" s="4">
        <v>3</v>
      </c>
      <c r="T203" s="92">
        <f t="shared" si="12"/>
        <v>13</v>
      </c>
      <c r="U203" s="95">
        <f t="shared" si="13"/>
        <v>14</v>
      </c>
      <c r="V203" s="67">
        <f t="shared" si="15"/>
        <v>1</v>
      </c>
      <c r="W203" s="67" t="str">
        <f>IF(V203&gt;(MEDIAN(Scoring!V:V)+_xlfn.STDEV.P(Scoring!V:V)),"YES","")</f>
        <v/>
      </c>
      <c r="X203" s="67" t="str">
        <f>IF($W203="YES",VLOOKUP($A203,'Editors Rescore'!$A$2:$M$63,13,FALSE),"")</f>
        <v/>
      </c>
      <c r="Y203" s="81">
        <f t="shared" si="14"/>
        <v>13.5</v>
      </c>
    </row>
    <row r="204" spans="1:25" s="1" customFormat="1" ht="32.15" customHeight="1" x14ac:dyDescent="0.3">
      <c r="A204" s="114" t="s">
        <v>261</v>
      </c>
      <c r="B204" s="144" t="s">
        <v>262</v>
      </c>
      <c r="C204" s="114" t="s">
        <v>114</v>
      </c>
      <c r="D204" s="93" t="s">
        <v>17</v>
      </c>
      <c r="E204" s="93" t="s">
        <v>18</v>
      </c>
      <c r="F204" s="96">
        <v>30451100</v>
      </c>
      <c r="G204" s="93" t="s">
        <v>128</v>
      </c>
      <c r="H204" s="92" t="s">
        <v>609</v>
      </c>
      <c r="I204" s="93" t="s">
        <v>610</v>
      </c>
      <c r="J204" s="94"/>
      <c r="K204" s="94"/>
      <c r="L204" s="92">
        <v>4</v>
      </c>
      <c r="M204" s="93">
        <v>5</v>
      </c>
      <c r="N204" s="92">
        <v>4</v>
      </c>
      <c r="O204" s="93">
        <v>4</v>
      </c>
      <c r="P204" s="92">
        <v>3</v>
      </c>
      <c r="Q204" s="93">
        <v>5</v>
      </c>
      <c r="R204" s="92">
        <v>2</v>
      </c>
      <c r="S204" s="93">
        <v>0</v>
      </c>
      <c r="T204" s="92">
        <f t="shared" si="12"/>
        <v>13</v>
      </c>
      <c r="U204" s="95">
        <f t="shared" si="13"/>
        <v>14</v>
      </c>
      <c r="V204" s="67">
        <f t="shared" si="15"/>
        <v>1</v>
      </c>
      <c r="W204" s="67" t="str">
        <f>IF(V204&gt;(MEDIAN(Scoring!V:V)+_xlfn.STDEV.P(Scoring!V:V)),"YES","")</f>
        <v/>
      </c>
      <c r="X204" s="67" t="str">
        <f>IF($W204="YES",VLOOKUP($A204,'Editors Rescore'!$A$2:$M$63,13,FALSE),"")</f>
        <v/>
      </c>
      <c r="Y204" s="81">
        <f t="shared" si="14"/>
        <v>13.5</v>
      </c>
    </row>
    <row r="205" spans="1:25" s="1" customFormat="1" ht="16" customHeight="1" x14ac:dyDescent="0.3">
      <c r="A205" s="2" t="s">
        <v>341</v>
      </c>
      <c r="B205" s="121" t="s">
        <v>327</v>
      </c>
      <c r="C205" s="113" t="s">
        <v>52</v>
      </c>
      <c r="D205" s="82" t="s">
        <v>17</v>
      </c>
      <c r="E205" s="68" t="s">
        <v>18</v>
      </c>
      <c r="F205" s="69">
        <v>30873345</v>
      </c>
      <c r="G205" s="82" t="s">
        <v>605</v>
      </c>
      <c r="H205" s="84" t="s">
        <v>318</v>
      </c>
      <c r="I205" s="82" t="s">
        <v>626</v>
      </c>
      <c r="J205" s="87"/>
      <c r="K205" s="87"/>
      <c r="L205" s="84">
        <v>4</v>
      </c>
      <c r="M205" s="82">
        <v>3</v>
      </c>
      <c r="N205" s="84">
        <v>4</v>
      </c>
      <c r="O205" s="82">
        <v>4</v>
      </c>
      <c r="P205" s="84">
        <v>1</v>
      </c>
      <c r="Q205" s="82">
        <v>4</v>
      </c>
      <c r="R205" s="84">
        <v>3</v>
      </c>
      <c r="S205" s="82">
        <v>4</v>
      </c>
      <c r="T205" s="92">
        <f t="shared" si="12"/>
        <v>12</v>
      </c>
      <c r="U205" s="95">
        <f t="shared" si="13"/>
        <v>15</v>
      </c>
      <c r="V205" s="67">
        <f t="shared" si="15"/>
        <v>3</v>
      </c>
      <c r="W205" s="67" t="str">
        <f>IF(V205&gt;(MEDIAN(Scoring!V:V)+_xlfn.STDEV.P(Scoring!V:V)),"YES","")</f>
        <v/>
      </c>
      <c r="X205" s="67" t="str">
        <f>IF($W205="YES",VLOOKUP($A205,'Editors Rescore'!$A$2:$M$63,13,FALSE),"")</f>
        <v/>
      </c>
      <c r="Y205" s="81">
        <f t="shared" si="14"/>
        <v>13.5</v>
      </c>
    </row>
    <row r="206" spans="1:25" s="1" customFormat="1" ht="16" customHeight="1" x14ac:dyDescent="0.3">
      <c r="A206" s="114" t="s">
        <v>90</v>
      </c>
      <c r="B206" s="132" t="s">
        <v>749</v>
      </c>
      <c r="C206" s="114" t="s">
        <v>91</v>
      </c>
      <c r="D206" s="93" t="s">
        <v>17</v>
      </c>
      <c r="E206" s="93" t="s">
        <v>18</v>
      </c>
      <c r="F206" s="96">
        <v>31329876</v>
      </c>
      <c r="G206" s="97" t="s">
        <v>619</v>
      </c>
      <c r="H206" s="98" t="s">
        <v>621</v>
      </c>
      <c r="I206" s="97" t="s">
        <v>620</v>
      </c>
      <c r="J206" s="99"/>
      <c r="K206" s="99"/>
      <c r="L206" s="98">
        <v>3</v>
      </c>
      <c r="M206" s="97">
        <v>2</v>
      </c>
      <c r="N206" s="98">
        <v>4</v>
      </c>
      <c r="O206" s="97">
        <v>4</v>
      </c>
      <c r="P206" s="98">
        <v>5</v>
      </c>
      <c r="Q206" s="97">
        <v>3</v>
      </c>
      <c r="R206" s="98">
        <v>3</v>
      </c>
      <c r="S206" s="97">
        <v>2</v>
      </c>
      <c r="T206" s="92">
        <f t="shared" si="12"/>
        <v>15</v>
      </c>
      <c r="U206" s="95">
        <f t="shared" si="13"/>
        <v>11</v>
      </c>
      <c r="V206" s="67">
        <f t="shared" si="15"/>
        <v>4</v>
      </c>
      <c r="W206" s="67" t="str">
        <f>IF(V206&gt;(MEDIAN(Scoring!V:V)+_xlfn.STDEV.P(Scoring!V:V)),"YES","")</f>
        <v>YES</v>
      </c>
      <c r="X206" s="67">
        <f>IF($W206="YES",VLOOKUP($A206,'Editors Rescore'!$A$2:$M$63,13,FALSE),"")</f>
        <v>14</v>
      </c>
      <c r="Y206" s="81">
        <f t="shared" si="14"/>
        <v>13.333333333333334</v>
      </c>
    </row>
    <row r="207" spans="1:25" s="1" customFormat="1" ht="32.15" customHeight="1" x14ac:dyDescent="0.3">
      <c r="A207" s="114" t="s">
        <v>285</v>
      </c>
      <c r="B207" s="113" t="s">
        <v>286</v>
      </c>
      <c r="C207" s="113" t="s">
        <v>52</v>
      </c>
      <c r="D207" s="97" t="s">
        <v>17</v>
      </c>
      <c r="E207" s="93" t="s">
        <v>18</v>
      </c>
      <c r="F207" s="96">
        <v>31339962</v>
      </c>
      <c r="G207" s="97" t="s">
        <v>128</v>
      </c>
      <c r="H207" s="98" t="s">
        <v>607</v>
      </c>
      <c r="I207" s="97" t="s">
        <v>608</v>
      </c>
      <c r="J207" s="99"/>
      <c r="K207" s="99"/>
      <c r="L207" s="98">
        <v>3</v>
      </c>
      <c r="M207" s="97">
        <v>4</v>
      </c>
      <c r="N207" s="98">
        <v>4</v>
      </c>
      <c r="O207" s="97">
        <v>4</v>
      </c>
      <c r="P207" s="98">
        <v>5</v>
      </c>
      <c r="Q207" s="97">
        <v>3</v>
      </c>
      <c r="R207" s="98">
        <v>4</v>
      </c>
      <c r="S207" s="97">
        <v>1</v>
      </c>
      <c r="T207" s="92">
        <f t="shared" si="12"/>
        <v>16</v>
      </c>
      <c r="U207" s="95">
        <f t="shared" si="13"/>
        <v>12</v>
      </c>
      <c r="V207" s="67">
        <f t="shared" si="15"/>
        <v>4</v>
      </c>
      <c r="W207" s="67" t="str">
        <f>IF(V207&gt;(MEDIAN(Scoring!V:V)+_xlfn.STDEV.P(Scoring!V:V)),"YES","")</f>
        <v>YES</v>
      </c>
      <c r="X207" s="67">
        <f>IF($W207="YES",VLOOKUP($A207,'Editors Rescore'!$A$2:$M$63,13,FALSE),"")</f>
        <v>12</v>
      </c>
      <c r="Y207" s="81">
        <f t="shared" si="14"/>
        <v>13.333333333333334</v>
      </c>
    </row>
    <row r="208" spans="1:25" s="1" customFormat="1" ht="32.15" customHeight="1" x14ac:dyDescent="0.3">
      <c r="A208" s="114" t="s">
        <v>287</v>
      </c>
      <c r="B208" s="134" t="s">
        <v>801</v>
      </c>
      <c r="C208" s="113" t="s">
        <v>101</v>
      </c>
      <c r="D208" s="97" t="s">
        <v>17</v>
      </c>
      <c r="E208" s="93" t="s">
        <v>18</v>
      </c>
      <c r="F208" s="96">
        <v>31366335</v>
      </c>
      <c r="G208" s="97" t="s">
        <v>128</v>
      </c>
      <c r="H208" s="98" t="s">
        <v>607</v>
      </c>
      <c r="I208" s="97" t="s">
        <v>608</v>
      </c>
      <c r="J208" s="99"/>
      <c r="K208" s="99"/>
      <c r="L208" s="98">
        <v>3</v>
      </c>
      <c r="M208" s="97">
        <v>4</v>
      </c>
      <c r="N208" s="98">
        <v>4</v>
      </c>
      <c r="O208" s="97">
        <v>4</v>
      </c>
      <c r="P208" s="98">
        <v>5</v>
      </c>
      <c r="Q208" s="97">
        <v>3</v>
      </c>
      <c r="R208" s="98">
        <v>4</v>
      </c>
      <c r="S208" s="97">
        <v>1</v>
      </c>
      <c r="T208" s="92">
        <f t="shared" si="12"/>
        <v>16</v>
      </c>
      <c r="U208" s="95">
        <f t="shared" si="13"/>
        <v>12</v>
      </c>
      <c r="V208" s="67">
        <f t="shared" si="15"/>
        <v>4</v>
      </c>
      <c r="W208" s="67" t="str">
        <f>IF(V208&gt;(MEDIAN(Scoring!V:V)+_xlfn.STDEV.P(Scoring!V:V)),"YES","")</f>
        <v>YES</v>
      </c>
      <c r="X208" s="67">
        <f>IF($W208="YES",VLOOKUP($A208,'Editors Rescore'!$A$2:$M$63,13,FALSE),"")</f>
        <v>12</v>
      </c>
      <c r="Y208" s="81">
        <f t="shared" si="14"/>
        <v>13.333333333333334</v>
      </c>
    </row>
    <row r="209" spans="1:25" s="1" customFormat="1" ht="32.15" customHeight="1" x14ac:dyDescent="0.3">
      <c r="A209" s="122" t="s">
        <v>552</v>
      </c>
      <c r="B209" s="115" t="s">
        <v>553</v>
      </c>
      <c r="C209" s="115" t="s">
        <v>52</v>
      </c>
      <c r="D209" s="76" t="s">
        <v>17</v>
      </c>
      <c r="E209" s="4" t="s">
        <v>19</v>
      </c>
      <c r="F209" s="8">
        <v>31560716</v>
      </c>
      <c r="G209" s="4" t="s">
        <v>128</v>
      </c>
      <c r="H209" s="83" t="s">
        <v>610</v>
      </c>
      <c r="I209" s="4" t="s">
        <v>609</v>
      </c>
      <c r="J209" s="6">
        <v>5</v>
      </c>
      <c r="K209" s="4">
        <v>5</v>
      </c>
      <c r="L209" s="85">
        <v>3</v>
      </c>
      <c r="M209" s="4">
        <v>3</v>
      </c>
      <c r="N209" s="79"/>
      <c r="O209" s="11"/>
      <c r="P209" s="85">
        <v>2</v>
      </c>
      <c r="Q209" s="4">
        <v>5</v>
      </c>
      <c r="R209" s="85">
        <v>2</v>
      </c>
      <c r="S209" s="4">
        <v>4</v>
      </c>
      <c r="T209" s="92">
        <f t="shared" si="12"/>
        <v>12</v>
      </c>
      <c r="U209" s="95">
        <f t="shared" si="13"/>
        <v>17</v>
      </c>
      <c r="V209" s="67">
        <f t="shared" si="15"/>
        <v>5</v>
      </c>
      <c r="W209" s="67" t="str">
        <f>IF(V209&gt;(MEDIAN(Scoring!V:V)+_xlfn.STDEV.P(Scoring!V:V)),"YES","")</f>
        <v>YES</v>
      </c>
      <c r="X209" s="67">
        <f>IF($W209="YES",VLOOKUP($A209,'Editors Rescore'!$A$2:$M$63,13,FALSE),"")</f>
        <v>11</v>
      </c>
      <c r="Y209" s="81">
        <f t="shared" si="14"/>
        <v>13.333333333333334</v>
      </c>
    </row>
    <row r="210" spans="1:25" s="1" customFormat="1" ht="16" customHeight="1" x14ac:dyDescent="0.3">
      <c r="A210" s="138" t="s">
        <v>883</v>
      </c>
      <c r="B210" s="138" t="s">
        <v>882</v>
      </c>
      <c r="C210" s="114" t="s">
        <v>162</v>
      </c>
      <c r="D210" s="93" t="s">
        <v>17</v>
      </c>
      <c r="E210" s="93" t="s">
        <v>18</v>
      </c>
      <c r="F210" s="96">
        <v>30877264</v>
      </c>
      <c r="G210" s="93" t="s">
        <v>616</v>
      </c>
      <c r="H210" s="92" t="s">
        <v>618</v>
      </c>
      <c r="I210" s="93" t="s">
        <v>617</v>
      </c>
      <c r="J210" s="94"/>
      <c r="K210" s="94"/>
      <c r="L210" s="92">
        <v>4</v>
      </c>
      <c r="M210" s="93">
        <v>3</v>
      </c>
      <c r="N210" s="92">
        <v>4</v>
      </c>
      <c r="O210" s="93">
        <v>3</v>
      </c>
      <c r="P210" s="92">
        <v>3</v>
      </c>
      <c r="Q210" s="93">
        <v>3</v>
      </c>
      <c r="R210" s="92">
        <v>3</v>
      </c>
      <c r="S210" s="93">
        <v>1</v>
      </c>
      <c r="T210" s="92">
        <f t="shared" si="12"/>
        <v>14</v>
      </c>
      <c r="U210" s="95">
        <f t="shared" si="13"/>
        <v>10</v>
      </c>
      <c r="V210" s="67">
        <f t="shared" si="15"/>
        <v>4</v>
      </c>
      <c r="W210" s="67" t="str">
        <f>IF(V210&gt;(MEDIAN(Scoring!V:V)+_xlfn.STDEV.P(Scoring!V:V)),"YES","")</f>
        <v>YES</v>
      </c>
      <c r="X210" s="67">
        <f>IF($W210="YES",VLOOKUP($A210,'Editors Rescore'!$A$2:$M$63,13,FALSE),"")</f>
        <v>16</v>
      </c>
      <c r="Y210" s="81">
        <f t="shared" si="14"/>
        <v>13.333333333333334</v>
      </c>
    </row>
    <row r="211" spans="1:25" s="1" customFormat="1" ht="32.15" customHeight="1" x14ac:dyDescent="0.3">
      <c r="A211" s="122" t="s">
        <v>439</v>
      </c>
      <c r="B211" s="115" t="s">
        <v>440</v>
      </c>
      <c r="C211" s="115" t="s">
        <v>52</v>
      </c>
      <c r="D211" s="76" t="s">
        <v>17</v>
      </c>
      <c r="E211" s="4" t="s">
        <v>18</v>
      </c>
      <c r="F211" s="4">
        <v>31794569</v>
      </c>
      <c r="G211" s="76" t="s">
        <v>619</v>
      </c>
      <c r="H211" s="83" t="s">
        <v>621</v>
      </c>
      <c r="I211" s="76" t="s">
        <v>620</v>
      </c>
      <c r="J211" s="79"/>
      <c r="K211" s="79"/>
      <c r="L211" s="85">
        <v>3</v>
      </c>
      <c r="M211" s="76">
        <v>4</v>
      </c>
      <c r="N211" s="85">
        <v>3</v>
      </c>
      <c r="O211" s="76">
        <v>4</v>
      </c>
      <c r="P211" s="85">
        <v>4</v>
      </c>
      <c r="Q211" s="76">
        <v>5</v>
      </c>
      <c r="R211" s="85">
        <v>0</v>
      </c>
      <c r="S211" s="76">
        <v>2</v>
      </c>
      <c r="T211" s="92">
        <f t="shared" si="12"/>
        <v>10</v>
      </c>
      <c r="U211" s="95">
        <f t="shared" si="13"/>
        <v>15</v>
      </c>
      <c r="V211" s="67">
        <f t="shared" si="15"/>
        <v>5</v>
      </c>
      <c r="W211" s="67" t="str">
        <f>IF(V211&gt;(MEDIAN(Scoring!V:V)+_xlfn.STDEV.P(Scoring!V:V)),"YES","")</f>
        <v>YES</v>
      </c>
      <c r="X211" s="67">
        <f>IF($W211="YES",VLOOKUP($A211,'Editors Rescore'!$A$2:$M$63,13,FALSE),"")</f>
        <v>14</v>
      </c>
      <c r="Y211" s="81">
        <f t="shared" si="14"/>
        <v>13</v>
      </c>
    </row>
    <row r="212" spans="1:25" s="1" customFormat="1" ht="16" customHeight="1" x14ac:dyDescent="0.3">
      <c r="A212" s="114" t="s">
        <v>263</v>
      </c>
      <c r="B212" s="114" t="s">
        <v>264</v>
      </c>
      <c r="C212" s="114" t="s">
        <v>24</v>
      </c>
      <c r="D212" s="93" t="s">
        <v>25</v>
      </c>
      <c r="E212" s="93" t="s">
        <v>18</v>
      </c>
      <c r="F212" s="96">
        <v>30976499</v>
      </c>
      <c r="G212" s="93" t="s">
        <v>128</v>
      </c>
      <c r="H212" s="92" t="s">
        <v>610</v>
      </c>
      <c r="I212" s="93" t="s">
        <v>609</v>
      </c>
      <c r="J212" s="94"/>
      <c r="K212" s="94"/>
      <c r="L212" s="92">
        <v>3</v>
      </c>
      <c r="M212" s="93">
        <v>3</v>
      </c>
      <c r="N212" s="92">
        <v>4</v>
      </c>
      <c r="O212" s="93">
        <v>4</v>
      </c>
      <c r="P212" s="92">
        <v>5</v>
      </c>
      <c r="Q212" s="93">
        <v>5</v>
      </c>
      <c r="R212" s="92">
        <v>0</v>
      </c>
      <c r="S212" s="93">
        <v>4</v>
      </c>
      <c r="T212" s="92">
        <f t="shared" si="12"/>
        <v>12</v>
      </c>
      <c r="U212" s="95">
        <f t="shared" si="13"/>
        <v>16</v>
      </c>
      <c r="V212" s="67">
        <f t="shared" si="15"/>
        <v>4</v>
      </c>
      <c r="W212" s="67" t="str">
        <f>IF(V212&gt;(MEDIAN(Scoring!V:V)+_xlfn.STDEV.P(Scoring!V:V)),"YES","")</f>
        <v>YES</v>
      </c>
      <c r="X212" s="67">
        <f>IF($W212="YES",VLOOKUP($A212,'Editors Rescore'!$A$2:$M$63,13,FALSE),"")</f>
        <v>11</v>
      </c>
      <c r="Y212" s="81">
        <f t="shared" si="14"/>
        <v>13</v>
      </c>
    </row>
    <row r="213" spans="1:25" s="1" customFormat="1" ht="16" customHeight="1" x14ac:dyDescent="0.3">
      <c r="A213" s="2" t="s">
        <v>347</v>
      </c>
      <c r="B213" s="121" t="s">
        <v>645</v>
      </c>
      <c r="C213" s="121" t="s">
        <v>330</v>
      </c>
      <c r="D213" s="82" t="s">
        <v>17</v>
      </c>
      <c r="E213" s="68" t="s">
        <v>18</v>
      </c>
      <c r="F213" s="69">
        <v>30777082</v>
      </c>
      <c r="G213" s="68" t="s">
        <v>605</v>
      </c>
      <c r="H213" s="71" t="s">
        <v>626</v>
      </c>
      <c r="I213" s="68" t="s">
        <v>318</v>
      </c>
      <c r="J213" s="72"/>
      <c r="K213" s="72"/>
      <c r="L213" s="71">
        <v>3</v>
      </c>
      <c r="M213" s="68">
        <v>3</v>
      </c>
      <c r="N213" s="71">
        <v>4</v>
      </c>
      <c r="O213" s="68">
        <v>4</v>
      </c>
      <c r="P213" s="71">
        <v>3</v>
      </c>
      <c r="Q213" s="68">
        <v>2</v>
      </c>
      <c r="R213" s="71">
        <v>4</v>
      </c>
      <c r="S213" s="68">
        <v>3</v>
      </c>
      <c r="T213" s="92">
        <f t="shared" si="12"/>
        <v>14</v>
      </c>
      <c r="U213" s="95">
        <f t="shared" si="13"/>
        <v>12</v>
      </c>
      <c r="V213" s="67">
        <f t="shared" si="15"/>
        <v>2</v>
      </c>
      <c r="W213" s="67" t="str">
        <f>IF(V213&gt;(MEDIAN(Scoring!V:V)+_xlfn.STDEV.P(Scoring!V:V)),"YES","")</f>
        <v/>
      </c>
      <c r="X213" s="67" t="str">
        <f>IF($W213="YES",VLOOKUP($A213,'Editors Rescore'!$A$2:$M$63,13,FALSE),"")</f>
        <v/>
      </c>
      <c r="Y213" s="81">
        <f t="shared" si="14"/>
        <v>13</v>
      </c>
    </row>
    <row r="214" spans="1:25" s="1" customFormat="1" ht="16" customHeight="1" x14ac:dyDescent="0.3">
      <c r="A214" s="122" t="s">
        <v>450</v>
      </c>
      <c r="B214" s="115" t="s">
        <v>650</v>
      </c>
      <c r="C214" s="115" t="s">
        <v>284</v>
      </c>
      <c r="D214" s="76" t="s">
        <v>17</v>
      </c>
      <c r="E214" s="4" t="s">
        <v>18</v>
      </c>
      <c r="F214" s="4">
        <v>31510970</v>
      </c>
      <c r="G214" s="148" t="s">
        <v>619</v>
      </c>
      <c r="H214" s="78" t="s">
        <v>620</v>
      </c>
      <c r="I214" s="148" t="s">
        <v>621</v>
      </c>
      <c r="J214" s="12"/>
      <c r="K214" s="12"/>
      <c r="L214" s="80">
        <v>4</v>
      </c>
      <c r="M214" s="148">
        <v>3</v>
      </c>
      <c r="N214" s="80">
        <v>4</v>
      </c>
      <c r="O214" s="148">
        <v>4</v>
      </c>
      <c r="P214" s="80">
        <v>4</v>
      </c>
      <c r="Q214" s="148">
        <v>4</v>
      </c>
      <c r="R214" s="80">
        <v>2</v>
      </c>
      <c r="S214" s="148">
        <v>1</v>
      </c>
      <c r="T214" s="92">
        <f t="shared" si="12"/>
        <v>14</v>
      </c>
      <c r="U214" s="95">
        <f t="shared" si="13"/>
        <v>12</v>
      </c>
      <c r="V214" s="67">
        <f t="shared" si="15"/>
        <v>2</v>
      </c>
      <c r="W214" s="67" t="str">
        <f>IF(V214&gt;(MEDIAN(Scoring!V:V)+_xlfn.STDEV.P(Scoring!V:V)),"YES","")</f>
        <v/>
      </c>
      <c r="X214" s="67" t="str">
        <f>IF($W214="YES",VLOOKUP($A214,'Editors Rescore'!$A$2:$M$63,13,FALSE),"")</f>
        <v/>
      </c>
      <c r="Y214" s="81">
        <f t="shared" si="14"/>
        <v>13</v>
      </c>
    </row>
    <row r="215" spans="1:25" s="1" customFormat="1" ht="16" customHeight="1" x14ac:dyDescent="0.3">
      <c r="A215" s="122" t="s">
        <v>693</v>
      </c>
      <c r="B215" s="115" t="s">
        <v>694</v>
      </c>
      <c r="C215" s="115" t="s">
        <v>370</v>
      </c>
      <c r="D215" s="76" t="s">
        <v>17</v>
      </c>
      <c r="E215" s="4" t="s">
        <v>18</v>
      </c>
      <c r="F215" s="4">
        <v>31126800</v>
      </c>
      <c r="G215" s="76" t="s">
        <v>624</v>
      </c>
      <c r="H215" s="83" t="s">
        <v>366</v>
      </c>
      <c r="I215" s="76" t="s">
        <v>625</v>
      </c>
      <c r="J215" s="79"/>
      <c r="K215" s="79"/>
      <c r="L215" s="85">
        <v>4</v>
      </c>
      <c r="M215" s="76">
        <v>4</v>
      </c>
      <c r="N215" s="85">
        <v>1</v>
      </c>
      <c r="O215" s="76">
        <v>1</v>
      </c>
      <c r="P215" s="85">
        <v>4</v>
      </c>
      <c r="Q215" s="76">
        <v>5</v>
      </c>
      <c r="R215" s="85">
        <v>1</v>
      </c>
      <c r="S215" s="76">
        <v>4</v>
      </c>
      <c r="T215" s="92">
        <f t="shared" si="12"/>
        <v>10</v>
      </c>
      <c r="U215" s="95">
        <f t="shared" si="13"/>
        <v>14</v>
      </c>
      <c r="V215" s="67">
        <f t="shared" si="15"/>
        <v>4</v>
      </c>
      <c r="W215" s="67" t="str">
        <f>IF(V215&gt;(MEDIAN(Scoring!V:V)+_xlfn.STDEV.P(Scoring!V:V)),"YES","")</f>
        <v>YES</v>
      </c>
      <c r="X215" s="67">
        <f>IF($W215="YES",VLOOKUP($A215,'Editors Rescore'!$A$2:$M$63,13,FALSE),"")</f>
        <v>15</v>
      </c>
      <c r="Y215" s="81">
        <f t="shared" si="14"/>
        <v>13</v>
      </c>
    </row>
    <row r="216" spans="1:25" s="1" customFormat="1" ht="16" customHeight="1" x14ac:dyDescent="0.3">
      <c r="A216" s="122" t="s">
        <v>414</v>
      </c>
      <c r="B216" s="115" t="s">
        <v>710</v>
      </c>
      <c r="C216" s="115" t="s">
        <v>72</v>
      </c>
      <c r="D216" s="76" t="s">
        <v>29</v>
      </c>
      <c r="E216" s="4" t="s">
        <v>18</v>
      </c>
      <c r="F216" s="4">
        <v>31488482</v>
      </c>
      <c r="G216" s="4" t="s">
        <v>128</v>
      </c>
      <c r="H216" s="5" t="s">
        <v>607</v>
      </c>
      <c r="I216" s="4" t="s">
        <v>608</v>
      </c>
      <c r="J216" s="11"/>
      <c r="K216" s="11"/>
      <c r="L216" s="6">
        <v>3</v>
      </c>
      <c r="M216" s="4">
        <v>3</v>
      </c>
      <c r="N216" s="6">
        <v>3</v>
      </c>
      <c r="O216" s="4">
        <v>4</v>
      </c>
      <c r="P216" s="6">
        <v>4</v>
      </c>
      <c r="Q216" s="4">
        <v>5</v>
      </c>
      <c r="R216" s="6">
        <v>4</v>
      </c>
      <c r="S216" s="4">
        <v>0</v>
      </c>
      <c r="T216" s="92">
        <f t="shared" si="12"/>
        <v>14</v>
      </c>
      <c r="U216" s="95">
        <f t="shared" si="13"/>
        <v>12</v>
      </c>
      <c r="V216" s="67">
        <f t="shared" si="15"/>
        <v>2</v>
      </c>
      <c r="W216" s="67" t="str">
        <f>IF(V216&gt;(MEDIAN(Scoring!V:V)+_xlfn.STDEV.P(Scoring!V:V)),"YES","")</f>
        <v/>
      </c>
      <c r="X216" s="67" t="str">
        <f>IF($W216="YES",VLOOKUP($A216,'Editors Rescore'!$A$2:$M$63,13,FALSE),"")</f>
        <v/>
      </c>
      <c r="Y216" s="81">
        <f t="shared" si="14"/>
        <v>13</v>
      </c>
    </row>
    <row r="217" spans="1:25" s="1" customFormat="1" ht="16" customHeight="1" x14ac:dyDescent="0.3">
      <c r="A217" s="114" t="s">
        <v>265</v>
      </c>
      <c r="B217" s="130" t="s">
        <v>714</v>
      </c>
      <c r="C217" s="113" t="s">
        <v>266</v>
      </c>
      <c r="D217" s="97" t="s">
        <v>17</v>
      </c>
      <c r="E217" s="93" t="s">
        <v>18</v>
      </c>
      <c r="F217" s="96">
        <v>31353159</v>
      </c>
      <c r="G217" s="93" t="s">
        <v>128</v>
      </c>
      <c r="H217" s="92" t="s">
        <v>610</v>
      </c>
      <c r="I217" s="93" t="s">
        <v>609</v>
      </c>
      <c r="J217" s="94"/>
      <c r="K217" s="94"/>
      <c r="L217" s="92">
        <v>5</v>
      </c>
      <c r="M217" s="93">
        <v>4</v>
      </c>
      <c r="N217" s="92">
        <v>4</v>
      </c>
      <c r="O217" s="93">
        <v>1</v>
      </c>
      <c r="P217" s="92">
        <v>3</v>
      </c>
      <c r="Q217" s="93">
        <v>4</v>
      </c>
      <c r="R217" s="92">
        <v>2</v>
      </c>
      <c r="S217" s="93">
        <v>3</v>
      </c>
      <c r="T217" s="92">
        <f t="shared" si="12"/>
        <v>14</v>
      </c>
      <c r="U217" s="95">
        <f t="shared" si="13"/>
        <v>12</v>
      </c>
      <c r="V217" s="67">
        <f t="shared" si="15"/>
        <v>2</v>
      </c>
      <c r="W217" s="67" t="str">
        <f>IF(V217&gt;(MEDIAN(Scoring!V:V)+_xlfn.STDEV.P(Scoring!V:V)),"YES","")</f>
        <v/>
      </c>
      <c r="X217" s="67" t="str">
        <f>IF($W217="YES",VLOOKUP($A217,'Editors Rescore'!$A$2:$M$63,13,FALSE),"")</f>
        <v/>
      </c>
      <c r="Y217" s="81">
        <f t="shared" si="14"/>
        <v>13</v>
      </c>
    </row>
    <row r="218" spans="1:25" s="1" customFormat="1" ht="16" customHeight="1" x14ac:dyDescent="0.3">
      <c r="A218" s="122" t="s">
        <v>518</v>
      </c>
      <c r="B218" s="115" t="s">
        <v>519</v>
      </c>
      <c r="C218" s="115" t="s">
        <v>52</v>
      </c>
      <c r="D218" s="76" t="s">
        <v>17</v>
      </c>
      <c r="E218" s="4" t="s">
        <v>18</v>
      </c>
      <c r="F218" s="4">
        <v>31557216</v>
      </c>
      <c r="G218" s="76" t="s">
        <v>611</v>
      </c>
      <c r="H218" s="77" t="s">
        <v>614</v>
      </c>
      <c r="I218" s="76" t="s">
        <v>615</v>
      </c>
      <c r="J218" s="79"/>
      <c r="K218" s="79"/>
      <c r="L218" s="77">
        <v>3</v>
      </c>
      <c r="M218" s="76">
        <v>3</v>
      </c>
      <c r="N218" s="77">
        <v>4</v>
      </c>
      <c r="O218" s="76">
        <v>4</v>
      </c>
      <c r="P218" s="77">
        <v>3</v>
      </c>
      <c r="Q218" s="76">
        <v>5</v>
      </c>
      <c r="R218" s="77">
        <v>2</v>
      </c>
      <c r="S218" s="76">
        <v>2</v>
      </c>
      <c r="T218" s="92">
        <f t="shared" si="12"/>
        <v>12</v>
      </c>
      <c r="U218" s="95">
        <f t="shared" si="13"/>
        <v>14</v>
      </c>
      <c r="V218" s="67">
        <f t="shared" si="15"/>
        <v>2</v>
      </c>
      <c r="W218" s="67" t="str">
        <f>IF(V218&gt;(MEDIAN(Scoring!V:V)+_xlfn.STDEV.P(Scoring!V:V)),"YES","")</f>
        <v/>
      </c>
      <c r="X218" s="67" t="str">
        <f>IF($W218="YES",VLOOKUP($A218,'Editors Rescore'!$A$2:$M$63,13,FALSE),"")</f>
        <v/>
      </c>
      <c r="Y218" s="81">
        <f t="shared" si="14"/>
        <v>13</v>
      </c>
    </row>
    <row r="219" spans="1:25" s="1" customFormat="1" ht="32.15" customHeight="1" x14ac:dyDescent="0.3">
      <c r="A219" s="114" t="s">
        <v>196</v>
      </c>
      <c r="B219" s="134" t="s">
        <v>800</v>
      </c>
      <c r="C219" s="113" t="s">
        <v>43</v>
      </c>
      <c r="D219" s="97" t="s">
        <v>25</v>
      </c>
      <c r="E219" s="93" t="s">
        <v>18</v>
      </c>
      <c r="F219" s="96">
        <v>30353403</v>
      </c>
      <c r="G219" s="93" t="s">
        <v>611</v>
      </c>
      <c r="H219" s="92" t="s">
        <v>613</v>
      </c>
      <c r="I219" s="93" t="s">
        <v>612</v>
      </c>
      <c r="J219" s="94"/>
      <c r="K219" s="94"/>
      <c r="L219" s="92">
        <v>3</v>
      </c>
      <c r="M219" s="93">
        <v>3</v>
      </c>
      <c r="N219" s="92">
        <v>1</v>
      </c>
      <c r="O219" s="93">
        <v>4</v>
      </c>
      <c r="P219" s="92">
        <v>4</v>
      </c>
      <c r="Q219" s="93">
        <v>5</v>
      </c>
      <c r="R219" s="92">
        <v>4</v>
      </c>
      <c r="S219" s="93">
        <v>5</v>
      </c>
      <c r="T219" s="92">
        <f t="shared" si="12"/>
        <v>12</v>
      </c>
      <c r="U219" s="95">
        <f t="shared" si="13"/>
        <v>17</v>
      </c>
      <c r="V219" s="67">
        <f t="shared" si="15"/>
        <v>5</v>
      </c>
      <c r="W219" s="67" t="str">
        <f>IF(V219&gt;(MEDIAN(Scoring!V:V)+_xlfn.STDEV.P(Scoring!V:V)),"YES","")</f>
        <v>YES</v>
      </c>
      <c r="X219" s="67">
        <f>IF($W219="YES",VLOOKUP($A219,'Editors Rescore'!$A$2:$M$63,13,FALSE),"")</f>
        <v>10</v>
      </c>
      <c r="Y219" s="81">
        <f t="shared" si="14"/>
        <v>13</v>
      </c>
    </row>
    <row r="220" spans="1:25" s="1" customFormat="1" ht="16" customHeight="1" x14ac:dyDescent="0.3">
      <c r="A220" s="122" t="s">
        <v>425</v>
      </c>
      <c r="B220" s="120" t="s">
        <v>830</v>
      </c>
      <c r="C220" s="115" t="s">
        <v>426</v>
      </c>
      <c r="D220" s="76" t="s">
        <v>17</v>
      </c>
      <c r="E220" s="4" t="s">
        <v>18</v>
      </c>
      <c r="F220" s="8">
        <v>31817489</v>
      </c>
      <c r="G220" s="4" t="s">
        <v>619</v>
      </c>
      <c r="H220" s="5" t="s">
        <v>623</v>
      </c>
      <c r="I220" s="4" t="s">
        <v>622</v>
      </c>
      <c r="J220" s="11"/>
      <c r="K220" s="11"/>
      <c r="L220" s="6">
        <v>3</v>
      </c>
      <c r="M220" s="4">
        <v>4</v>
      </c>
      <c r="N220" s="6">
        <v>4</v>
      </c>
      <c r="O220" s="4">
        <v>4</v>
      </c>
      <c r="P220" s="6">
        <v>3</v>
      </c>
      <c r="Q220" s="4">
        <v>3</v>
      </c>
      <c r="R220" s="6">
        <v>3</v>
      </c>
      <c r="S220" s="4">
        <v>2</v>
      </c>
      <c r="T220" s="92">
        <f t="shared" si="12"/>
        <v>13</v>
      </c>
      <c r="U220" s="95">
        <f t="shared" si="13"/>
        <v>13</v>
      </c>
      <c r="V220" s="67">
        <f t="shared" si="15"/>
        <v>0</v>
      </c>
      <c r="W220" s="67" t="str">
        <f>IF(V220&gt;(MEDIAN(Scoring!V:V)+_xlfn.STDEV.P(Scoring!V:V)),"YES","")</f>
        <v/>
      </c>
      <c r="X220" s="67" t="str">
        <f>IF($W220="YES",VLOOKUP($A220,'Editors Rescore'!$A$2:$M$63,13,FALSE),"")</f>
        <v/>
      </c>
      <c r="Y220" s="81">
        <f t="shared" si="14"/>
        <v>13</v>
      </c>
    </row>
    <row r="221" spans="1:25" s="1" customFormat="1" ht="16" customHeight="1" x14ac:dyDescent="0.3">
      <c r="A221" s="114" t="s">
        <v>96</v>
      </c>
      <c r="B221" s="147" t="s">
        <v>97</v>
      </c>
      <c r="C221" s="113" t="s">
        <v>99</v>
      </c>
      <c r="D221" s="97" t="s">
        <v>29</v>
      </c>
      <c r="E221" s="93" t="s">
        <v>18</v>
      </c>
      <c r="F221" s="96">
        <v>30819115</v>
      </c>
      <c r="G221" s="93" t="s">
        <v>619</v>
      </c>
      <c r="H221" s="98" t="s">
        <v>621</v>
      </c>
      <c r="I221" s="93" t="s">
        <v>620</v>
      </c>
      <c r="J221" s="94"/>
      <c r="K221" s="94"/>
      <c r="L221" s="98">
        <v>4</v>
      </c>
      <c r="M221" s="93">
        <v>4</v>
      </c>
      <c r="N221" s="98">
        <v>3</v>
      </c>
      <c r="O221" s="93">
        <v>3</v>
      </c>
      <c r="P221" s="98">
        <v>2</v>
      </c>
      <c r="Q221" s="93">
        <v>5</v>
      </c>
      <c r="R221" s="98">
        <v>2</v>
      </c>
      <c r="S221" s="93">
        <v>4</v>
      </c>
      <c r="T221" s="92">
        <f t="shared" si="12"/>
        <v>11</v>
      </c>
      <c r="U221" s="95">
        <f t="shared" si="13"/>
        <v>16</v>
      </c>
      <c r="V221" s="67">
        <f t="shared" si="15"/>
        <v>5</v>
      </c>
      <c r="W221" s="67" t="str">
        <f>IF(V221&gt;(MEDIAN(Scoring!V:V)+_xlfn.STDEV.P(Scoring!V:V)),"YES","")</f>
        <v>YES</v>
      </c>
      <c r="X221" s="67">
        <f>IF($W221="YES",VLOOKUP($A221,'Editors Rescore'!$A$2:$M$63,13,FALSE),"")</f>
        <v>12</v>
      </c>
      <c r="Y221" s="81">
        <f t="shared" si="14"/>
        <v>13</v>
      </c>
    </row>
    <row r="222" spans="1:25" s="1" customFormat="1" ht="32.15" customHeight="1" x14ac:dyDescent="0.3">
      <c r="A222" s="114" t="s">
        <v>102</v>
      </c>
      <c r="B222" s="147" t="s">
        <v>845</v>
      </c>
      <c r="C222" s="113" t="s">
        <v>24</v>
      </c>
      <c r="D222" s="97" t="s">
        <v>17</v>
      </c>
      <c r="E222" s="93" t="s">
        <v>18</v>
      </c>
      <c r="F222" s="96">
        <v>31528529</v>
      </c>
      <c r="G222" s="97" t="s">
        <v>619</v>
      </c>
      <c r="H222" s="98" t="s">
        <v>621</v>
      </c>
      <c r="I222" s="97" t="s">
        <v>620</v>
      </c>
      <c r="J222" s="99"/>
      <c r="K222" s="99"/>
      <c r="L222" s="98">
        <v>4</v>
      </c>
      <c r="M222" s="97">
        <v>4</v>
      </c>
      <c r="N222" s="98">
        <v>4</v>
      </c>
      <c r="O222" s="97">
        <v>3</v>
      </c>
      <c r="P222" s="98">
        <v>5</v>
      </c>
      <c r="Q222" s="97">
        <v>3</v>
      </c>
      <c r="R222" s="98">
        <v>1</v>
      </c>
      <c r="S222" s="97">
        <v>2</v>
      </c>
      <c r="T222" s="92">
        <f t="shared" si="12"/>
        <v>14</v>
      </c>
      <c r="U222" s="95">
        <f t="shared" si="13"/>
        <v>12</v>
      </c>
      <c r="V222" s="67">
        <f t="shared" si="15"/>
        <v>2</v>
      </c>
      <c r="W222" s="67" t="str">
        <f>IF(V222&gt;(MEDIAN(Scoring!V:V)+_xlfn.STDEV.P(Scoring!V:V)),"YES","")</f>
        <v/>
      </c>
      <c r="X222" s="67" t="str">
        <f>IF($W222="YES",VLOOKUP($A222,'Editors Rescore'!$A$2:$M$63,13,FALSE),"")</f>
        <v/>
      </c>
      <c r="Y222" s="81">
        <f t="shared" si="14"/>
        <v>13</v>
      </c>
    </row>
    <row r="223" spans="1:25" s="1" customFormat="1" ht="16" customHeight="1" x14ac:dyDescent="0.3">
      <c r="A223" s="114" t="s">
        <v>259</v>
      </c>
      <c r="B223" s="137" t="s">
        <v>863</v>
      </c>
      <c r="C223" s="113" t="s">
        <v>260</v>
      </c>
      <c r="D223" s="97" t="s">
        <v>17</v>
      </c>
      <c r="E223" s="93" t="s">
        <v>18</v>
      </c>
      <c r="F223" s="96">
        <v>31293913</v>
      </c>
      <c r="G223" s="97" t="s">
        <v>128</v>
      </c>
      <c r="H223" s="98" t="s">
        <v>609</v>
      </c>
      <c r="I223" s="97" t="s">
        <v>610</v>
      </c>
      <c r="J223" s="99"/>
      <c r="K223" s="99"/>
      <c r="L223" s="98">
        <v>4</v>
      </c>
      <c r="M223" s="97">
        <v>4</v>
      </c>
      <c r="N223" s="98">
        <v>4</v>
      </c>
      <c r="O223" s="97">
        <v>4</v>
      </c>
      <c r="P223" s="98">
        <v>3</v>
      </c>
      <c r="Q223" s="97">
        <v>4</v>
      </c>
      <c r="R223" s="98">
        <v>2</v>
      </c>
      <c r="S223" s="97">
        <v>1</v>
      </c>
      <c r="T223" s="92">
        <f t="shared" si="12"/>
        <v>13</v>
      </c>
      <c r="U223" s="95">
        <f t="shared" si="13"/>
        <v>13</v>
      </c>
      <c r="V223" s="67">
        <f t="shared" si="15"/>
        <v>0</v>
      </c>
      <c r="W223" s="67" t="str">
        <f>IF(V223&gt;(MEDIAN(Scoring!V:V)+_xlfn.STDEV.P(Scoring!V:V)),"YES","")</f>
        <v/>
      </c>
      <c r="X223" s="67" t="str">
        <f>IF($W223="YES",VLOOKUP($A223,'Editors Rescore'!$A$2:$M$63,13,FALSE),"")</f>
        <v/>
      </c>
      <c r="Y223" s="81">
        <f t="shared" si="14"/>
        <v>13</v>
      </c>
    </row>
    <row r="224" spans="1:25" s="1" customFormat="1" ht="16" customHeight="1" x14ac:dyDescent="0.3">
      <c r="A224" s="122" t="s">
        <v>397</v>
      </c>
      <c r="B224" s="115" t="s">
        <v>884</v>
      </c>
      <c r="C224" s="115" t="s">
        <v>398</v>
      </c>
      <c r="D224" s="76" t="s">
        <v>29</v>
      </c>
      <c r="E224" s="4" t="s">
        <v>18</v>
      </c>
      <c r="F224" s="8">
        <v>31498503</v>
      </c>
      <c r="G224" s="4" t="s">
        <v>128</v>
      </c>
      <c r="H224" s="5" t="s">
        <v>610</v>
      </c>
      <c r="I224" s="4" t="s">
        <v>609</v>
      </c>
      <c r="J224" s="11"/>
      <c r="K224" s="11"/>
      <c r="L224" s="6">
        <v>3</v>
      </c>
      <c r="M224" s="4">
        <v>4</v>
      </c>
      <c r="N224" s="6">
        <v>4</v>
      </c>
      <c r="O224" s="4">
        <v>2</v>
      </c>
      <c r="P224" s="6">
        <v>4</v>
      </c>
      <c r="Q224" s="4">
        <v>4</v>
      </c>
      <c r="R224" s="6">
        <v>3</v>
      </c>
      <c r="S224" s="4">
        <v>2</v>
      </c>
      <c r="T224" s="92">
        <f t="shared" si="12"/>
        <v>14</v>
      </c>
      <c r="U224" s="95">
        <f t="shared" si="13"/>
        <v>12</v>
      </c>
      <c r="V224" s="67">
        <f t="shared" si="15"/>
        <v>2</v>
      </c>
      <c r="W224" s="67" t="str">
        <f>IF(V224&gt;(MEDIAN(Scoring!V:V)+_xlfn.STDEV.P(Scoring!V:V)),"YES","")</f>
        <v/>
      </c>
      <c r="X224" s="67" t="str">
        <f>IF($W224="YES",VLOOKUP($A224,'Editors Rescore'!$A$2:$M$63,13,FALSE),"")</f>
        <v/>
      </c>
      <c r="Y224" s="81">
        <f t="shared" si="14"/>
        <v>13</v>
      </c>
    </row>
    <row r="225" spans="1:25" s="1" customFormat="1" ht="16" customHeight="1" x14ac:dyDescent="0.3">
      <c r="A225" s="114" t="s">
        <v>218</v>
      </c>
      <c r="B225" s="137" t="s">
        <v>888</v>
      </c>
      <c r="C225" s="113" t="s">
        <v>219</v>
      </c>
      <c r="D225" s="97" t="s">
        <v>17</v>
      </c>
      <c r="E225" s="93" t="s">
        <v>18</v>
      </c>
      <c r="F225" s="96">
        <v>28697155</v>
      </c>
      <c r="G225" s="93" t="s">
        <v>616</v>
      </c>
      <c r="H225" s="92" t="s">
        <v>618</v>
      </c>
      <c r="I225" s="93" t="s">
        <v>617</v>
      </c>
      <c r="J225" s="94"/>
      <c r="K225" s="94"/>
      <c r="L225" s="92">
        <v>5</v>
      </c>
      <c r="M225" s="93">
        <v>4</v>
      </c>
      <c r="N225" s="92">
        <v>4</v>
      </c>
      <c r="O225" s="93">
        <v>4</v>
      </c>
      <c r="P225" s="92">
        <v>2</v>
      </c>
      <c r="Q225" s="93">
        <v>2</v>
      </c>
      <c r="R225" s="92">
        <v>3</v>
      </c>
      <c r="S225" s="93">
        <v>2</v>
      </c>
      <c r="T225" s="92">
        <f t="shared" si="12"/>
        <v>14</v>
      </c>
      <c r="U225" s="95">
        <f t="shared" si="13"/>
        <v>12</v>
      </c>
      <c r="V225" s="67">
        <f t="shared" si="15"/>
        <v>2</v>
      </c>
      <c r="W225" s="67" t="str">
        <f>IF(V225&gt;(MEDIAN(Scoring!V:V)+_xlfn.STDEV.P(Scoring!V:V)),"YES","")</f>
        <v/>
      </c>
      <c r="X225" s="67" t="str">
        <f>IF($W225="YES",VLOOKUP($A225,'Editors Rescore'!$A$2:$M$63,13,FALSE),"")</f>
        <v/>
      </c>
      <c r="Y225" s="81">
        <f t="shared" si="14"/>
        <v>13</v>
      </c>
    </row>
    <row r="226" spans="1:25" s="1" customFormat="1" ht="32.15" customHeight="1" x14ac:dyDescent="0.3">
      <c r="A226" s="122" t="s">
        <v>410</v>
      </c>
      <c r="B226" s="140" t="s">
        <v>895</v>
      </c>
      <c r="C226" s="112" t="s">
        <v>359</v>
      </c>
      <c r="D226" s="4" t="s">
        <v>17</v>
      </c>
      <c r="E226" s="4" t="s">
        <v>18</v>
      </c>
      <c r="F226" s="4">
        <v>31660408</v>
      </c>
      <c r="G226" s="4" t="s">
        <v>128</v>
      </c>
      <c r="H226" s="5" t="s">
        <v>608</v>
      </c>
      <c r="I226" s="4" t="s">
        <v>607</v>
      </c>
      <c r="J226" s="11"/>
      <c r="K226" s="11"/>
      <c r="L226" s="6">
        <v>3</v>
      </c>
      <c r="M226" s="4">
        <v>4</v>
      </c>
      <c r="N226" s="6">
        <v>4</v>
      </c>
      <c r="O226" s="4">
        <v>4</v>
      </c>
      <c r="P226" s="6">
        <v>3</v>
      </c>
      <c r="Q226" s="4">
        <v>5</v>
      </c>
      <c r="R226" s="6">
        <v>0</v>
      </c>
      <c r="S226" s="4">
        <v>4</v>
      </c>
      <c r="T226" s="92">
        <f t="shared" si="12"/>
        <v>10</v>
      </c>
      <c r="U226" s="95">
        <f t="shared" si="13"/>
        <v>17</v>
      </c>
      <c r="V226" s="67">
        <f t="shared" si="15"/>
        <v>7</v>
      </c>
      <c r="W226" s="67" t="str">
        <f>IF(V226&gt;(MEDIAN(Scoring!V:V)+_xlfn.STDEV.P(Scoring!V:V)),"YES","")</f>
        <v>YES</v>
      </c>
      <c r="X226" s="67">
        <f>IF($W226="YES",VLOOKUP($A226,'Editors Rescore'!$A$2:$M$63,13,FALSE),"")</f>
        <v>12</v>
      </c>
      <c r="Y226" s="81">
        <f t="shared" si="14"/>
        <v>13</v>
      </c>
    </row>
    <row r="227" spans="1:25" s="1" customFormat="1" ht="16" customHeight="1" x14ac:dyDescent="0.3">
      <c r="A227" s="114" t="s">
        <v>220</v>
      </c>
      <c r="B227" s="114" t="s">
        <v>221</v>
      </c>
      <c r="C227" s="114" t="s">
        <v>52</v>
      </c>
      <c r="D227" s="93" t="s">
        <v>29</v>
      </c>
      <c r="E227" s="93" t="s">
        <v>18</v>
      </c>
      <c r="F227" s="96">
        <v>30845203</v>
      </c>
      <c r="G227" s="93" t="s">
        <v>616</v>
      </c>
      <c r="H227" s="98" t="s">
        <v>618</v>
      </c>
      <c r="I227" s="93" t="s">
        <v>617</v>
      </c>
      <c r="J227" s="94"/>
      <c r="K227" s="94"/>
      <c r="L227" s="98">
        <v>4</v>
      </c>
      <c r="M227" s="93">
        <v>3</v>
      </c>
      <c r="N227" s="98">
        <v>4</v>
      </c>
      <c r="O227" s="93">
        <v>2</v>
      </c>
      <c r="P227" s="98">
        <v>2</v>
      </c>
      <c r="Q227" s="93">
        <v>5</v>
      </c>
      <c r="R227" s="98">
        <v>3</v>
      </c>
      <c r="S227" s="93">
        <v>3</v>
      </c>
      <c r="T227" s="92">
        <f t="shared" si="12"/>
        <v>13</v>
      </c>
      <c r="U227" s="95">
        <f t="shared" si="13"/>
        <v>13</v>
      </c>
      <c r="V227" s="67">
        <f t="shared" si="15"/>
        <v>0</v>
      </c>
      <c r="W227" s="67" t="str">
        <f>IF(V227&gt;(MEDIAN(Scoring!V:V)+_xlfn.STDEV.P(Scoring!V:V)),"YES","")</f>
        <v/>
      </c>
      <c r="X227" s="67" t="str">
        <f>IF($W227="YES",VLOOKUP($A227,'Editors Rescore'!$A$2:$M$63,13,FALSE),"")</f>
        <v/>
      </c>
      <c r="Y227" s="81">
        <f t="shared" si="14"/>
        <v>13</v>
      </c>
    </row>
    <row r="228" spans="1:25" s="1" customFormat="1" ht="16" customHeight="1" x14ac:dyDescent="0.3">
      <c r="A228" s="122" t="s">
        <v>144</v>
      </c>
      <c r="B228" s="115" t="s">
        <v>68</v>
      </c>
      <c r="C228" s="115" t="s">
        <v>24</v>
      </c>
      <c r="D228" s="76" t="s">
        <v>17</v>
      </c>
      <c r="E228" s="4" t="s">
        <v>19</v>
      </c>
      <c r="F228" s="4">
        <v>30873352</v>
      </c>
      <c r="G228" s="4" t="s">
        <v>611</v>
      </c>
      <c r="H228" s="9" t="s">
        <v>612</v>
      </c>
      <c r="I228" s="4" t="s">
        <v>613</v>
      </c>
      <c r="J228" s="9">
        <v>5</v>
      </c>
      <c r="K228" s="4">
        <v>5</v>
      </c>
      <c r="L228" s="9">
        <v>3</v>
      </c>
      <c r="M228" s="4">
        <v>3</v>
      </c>
      <c r="N228" s="11"/>
      <c r="O228" s="11"/>
      <c r="P228" s="9">
        <v>3</v>
      </c>
      <c r="Q228" s="4">
        <v>5</v>
      </c>
      <c r="R228" s="9">
        <v>0</v>
      </c>
      <c r="S228" s="4">
        <v>2</v>
      </c>
      <c r="T228" s="92">
        <f t="shared" si="12"/>
        <v>11</v>
      </c>
      <c r="U228" s="95">
        <f t="shared" si="13"/>
        <v>15</v>
      </c>
      <c r="V228" s="67">
        <f t="shared" si="15"/>
        <v>4</v>
      </c>
      <c r="W228" s="67" t="str">
        <f>IF(V228&gt;(MEDIAN(Scoring!V:V)+_xlfn.STDEV.P(Scoring!V:V)),"YES","")</f>
        <v>YES</v>
      </c>
      <c r="X228" s="67">
        <f>IF($W228="YES",VLOOKUP($A228,'Editors Rescore'!$A$2:$M$63,13,FALSE),"")</f>
        <v>12</v>
      </c>
      <c r="Y228" s="81">
        <f t="shared" si="14"/>
        <v>12.666666666666666</v>
      </c>
    </row>
    <row r="229" spans="1:25" s="1" customFormat="1" ht="32.15" customHeight="1" x14ac:dyDescent="0.3">
      <c r="A229" s="122" t="s">
        <v>946</v>
      </c>
      <c r="B229" s="115" t="s">
        <v>411</v>
      </c>
      <c r="C229" s="115" t="s">
        <v>266</v>
      </c>
      <c r="D229" s="76" t="s">
        <v>17</v>
      </c>
      <c r="E229" s="4" t="s">
        <v>18</v>
      </c>
      <c r="F229" s="4">
        <v>31839518</v>
      </c>
      <c r="G229" s="4" t="s">
        <v>128</v>
      </c>
      <c r="H229" s="83" t="s">
        <v>608</v>
      </c>
      <c r="I229" s="4" t="s">
        <v>607</v>
      </c>
      <c r="J229" s="11"/>
      <c r="K229" s="11"/>
      <c r="L229" s="85">
        <v>3</v>
      </c>
      <c r="M229" s="4">
        <v>3</v>
      </c>
      <c r="N229" s="85">
        <v>4</v>
      </c>
      <c r="O229" s="4">
        <v>4</v>
      </c>
      <c r="P229" s="85">
        <v>1</v>
      </c>
      <c r="Q229" s="4">
        <v>4</v>
      </c>
      <c r="R229" s="85">
        <v>2</v>
      </c>
      <c r="S229" s="4">
        <v>4</v>
      </c>
      <c r="T229" s="92">
        <f t="shared" si="12"/>
        <v>10</v>
      </c>
      <c r="U229" s="95">
        <f t="shared" si="13"/>
        <v>15</v>
      </c>
      <c r="V229" s="67">
        <f t="shared" si="15"/>
        <v>5</v>
      </c>
      <c r="W229" s="67" t="str">
        <f>IF(V229&gt;(MEDIAN(Scoring!V:V)+_xlfn.STDEV.P(Scoring!V:V)),"YES","")</f>
        <v>YES</v>
      </c>
      <c r="X229" s="67">
        <f>IF($W229="YES",VLOOKUP($A229,'Editors Rescore'!$A$2:$M$63,13,FALSE),"")</f>
        <v>13</v>
      </c>
      <c r="Y229" s="81">
        <f t="shared" si="14"/>
        <v>12.666666666666666</v>
      </c>
    </row>
    <row r="230" spans="1:25" s="1" customFormat="1" ht="16" customHeight="1" x14ac:dyDescent="0.3">
      <c r="A230" s="122" t="s">
        <v>485</v>
      </c>
      <c r="B230" s="115" t="s">
        <v>640</v>
      </c>
      <c r="C230" s="115" t="s">
        <v>77</v>
      </c>
      <c r="D230" s="76" t="s">
        <v>25</v>
      </c>
      <c r="E230" s="4" t="s">
        <v>18</v>
      </c>
      <c r="F230" s="4">
        <v>31913826</v>
      </c>
      <c r="G230" s="4" t="s">
        <v>616</v>
      </c>
      <c r="H230" s="5" t="s">
        <v>617</v>
      </c>
      <c r="I230" s="4" t="s">
        <v>618</v>
      </c>
      <c r="J230" s="11"/>
      <c r="K230" s="11"/>
      <c r="L230" s="6">
        <v>4</v>
      </c>
      <c r="M230" s="4">
        <v>4</v>
      </c>
      <c r="N230" s="6">
        <v>4</v>
      </c>
      <c r="O230" s="4">
        <v>4</v>
      </c>
      <c r="P230" s="6">
        <v>3</v>
      </c>
      <c r="Q230" s="4">
        <v>2</v>
      </c>
      <c r="R230" s="6">
        <v>2</v>
      </c>
      <c r="S230" s="4">
        <v>2</v>
      </c>
      <c r="T230" s="92">
        <f t="shared" si="12"/>
        <v>13</v>
      </c>
      <c r="U230" s="95">
        <f t="shared" si="13"/>
        <v>12</v>
      </c>
      <c r="V230" s="67">
        <f t="shared" si="15"/>
        <v>1</v>
      </c>
      <c r="W230" s="67" t="str">
        <f>IF(V230&gt;(MEDIAN(Scoring!V:V)+_xlfn.STDEV.P(Scoring!V:V)),"YES","")</f>
        <v/>
      </c>
      <c r="X230" s="67" t="str">
        <f>IF($W230="YES",VLOOKUP($A230,'Editors Rescore'!$A$2:$M$63,13,FALSE),"")</f>
        <v/>
      </c>
      <c r="Y230" s="81">
        <f t="shared" si="14"/>
        <v>12.5</v>
      </c>
    </row>
    <row r="231" spans="1:25" s="7" customFormat="1" ht="32.15" customHeight="1" x14ac:dyDescent="0.3">
      <c r="A231" s="122" t="s">
        <v>642</v>
      </c>
      <c r="B231" s="115" t="s">
        <v>460</v>
      </c>
      <c r="C231" s="115" t="s">
        <v>24</v>
      </c>
      <c r="D231" s="76" t="s">
        <v>17</v>
      </c>
      <c r="E231" s="4" t="s">
        <v>18</v>
      </c>
      <c r="F231" s="8">
        <v>31890483</v>
      </c>
      <c r="G231" s="4" t="s">
        <v>20</v>
      </c>
      <c r="H231" s="5" t="s">
        <v>606</v>
      </c>
      <c r="I231" s="4" t="s">
        <v>21</v>
      </c>
      <c r="J231" s="11"/>
      <c r="K231" s="11"/>
      <c r="L231" s="6">
        <v>4</v>
      </c>
      <c r="M231" s="4">
        <v>4</v>
      </c>
      <c r="N231" s="6">
        <v>3</v>
      </c>
      <c r="O231" s="4">
        <v>3</v>
      </c>
      <c r="P231" s="6">
        <v>3</v>
      </c>
      <c r="Q231" s="4">
        <v>4</v>
      </c>
      <c r="R231" s="6">
        <v>3</v>
      </c>
      <c r="S231" s="4">
        <v>1</v>
      </c>
      <c r="T231" s="92">
        <f t="shared" si="12"/>
        <v>13</v>
      </c>
      <c r="U231" s="95">
        <f t="shared" si="13"/>
        <v>12</v>
      </c>
      <c r="V231" s="67">
        <f t="shared" si="15"/>
        <v>1</v>
      </c>
      <c r="W231" s="67" t="str">
        <f>IF(V231&gt;(MEDIAN(Scoring!V:V)+_xlfn.STDEV.P(Scoring!V:V)),"YES","")</f>
        <v/>
      </c>
      <c r="X231" s="67" t="str">
        <f>IF($W231="YES",VLOOKUP($A231,'Editors Rescore'!$A$2:$M$63,13,FALSE),"")</f>
        <v/>
      </c>
      <c r="Y231" s="81">
        <f t="shared" si="14"/>
        <v>12.5</v>
      </c>
    </row>
    <row r="232" spans="1:25" s="7" customFormat="1" ht="16" customHeight="1" x14ac:dyDescent="0.3">
      <c r="A232" s="122" t="s">
        <v>663</v>
      </c>
      <c r="B232" s="115" t="s">
        <v>664</v>
      </c>
      <c r="C232" s="115" t="s">
        <v>369</v>
      </c>
      <c r="D232" s="76" t="s">
        <v>17</v>
      </c>
      <c r="E232" s="4" t="s">
        <v>18</v>
      </c>
      <c r="F232" s="4">
        <v>30199480</v>
      </c>
      <c r="G232" s="4" t="s">
        <v>624</v>
      </c>
      <c r="H232" s="5" t="s">
        <v>366</v>
      </c>
      <c r="I232" s="4" t="s">
        <v>625</v>
      </c>
      <c r="J232" s="11"/>
      <c r="K232" s="11"/>
      <c r="L232" s="6">
        <v>4</v>
      </c>
      <c r="M232" s="4">
        <v>4</v>
      </c>
      <c r="N232" s="6">
        <v>3</v>
      </c>
      <c r="O232" s="4">
        <v>3</v>
      </c>
      <c r="P232" s="6">
        <v>5</v>
      </c>
      <c r="Q232" s="4">
        <v>3</v>
      </c>
      <c r="R232" s="6">
        <v>1</v>
      </c>
      <c r="S232" s="4">
        <v>2</v>
      </c>
      <c r="T232" s="92">
        <f t="shared" si="12"/>
        <v>13</v>
      </c>
      <c r="U232" s="95">
        <f t="shared" si="13"/>
        <v>12</v>
      </c>
      <c r="V232" s="67">
        <f t="shared" si="15"/>
        <v>1</v>
      </c>
      <c r="W232" s="67" t="str">
        <f>IF(V232&gt;(MEDIAN(Scoring!V:V)+_xlfn.STDEV.P(Scoring!V:V)),"YES","")</f>
        <v/>
      </c>
      <c r="X232" s="67" t="str">
        <f>IF($W232="YES",VLOOKUP($A232,'Editors Rescore'!$A$2:$M$63,13,FALSE),"")</f>
        <v/>
      </c>
      <c r="Y232" s="81">
        <f t="shared" si="14"/>
        <v>12.5</v>
      </c>
    </row>
    <row r="233" spans="1:25" s="7" customFormat="1" ht="16" customHeight="1" x14ac:dyDescent="0.3">
      <c r="A233" s="2" t="s">
        <v>186</v>
      </c>
      <c r="B233" s="2" t="s">
        <v>187</v>
      </c>
      <c r="C233" s="2" t="s">
        <v>147</v>
      </c>
      <c r="D233" s="68" t="s">
        <v>17</v>
      </c>
      <c r="E233" s="68" t="s">
        <v>18</v>
      </c>
      <c r="F233" s="69">
        <v>31291242</v>
      </c>
      <c r="G233" s="68" t="s">
        <v>611</v>
      </c>
      <c r="H233" s="92" t="s">
        <v>614</v>
      </c>
      <c r="I233" s="93" t="s">
        <v>615</v>
      </c>
      <c r="J233" s="94"/>
      <c r="K233" s="94"/>
      <c r="L233" s="70">
        <v>3</v>
      </c>
      <c r="M233" s="68">
        <v>4</v>
      </c>
      <c r="N233" s="70">
        <v>4</v>
      </c>
      <c r="O233" s="68">
        <v>3</v>
      </c>
      <c r="P233" s="70">
        <v>3</v>
      </c>
      <c r="Q233" s="68">
        <v>3</v>
      </c>
      <c r="R233" s="70">
        <v>2</v>
      </c>
      <c r="S233" s="93">
        <v>3</v>
      </c>
      <c r="T233" s="92">
        <f t="shared" si="12"/>
        <v>12</v>
      </c>
      <c r="U233" s="95">
        <f t="shared" si="13"/>
        <v>13</v>
      </c>
      <c r="V233" s="67">
        <f t="shared" si="15"/>
        <v>1</v>
      </c>
      <c r="W233" s="67" t="str">
        <f>IF(V233&gt;(MEDIAN(Scoring!V:V)+_xlfn.STDEV.P(Scoring!V:V)),"YES","")</f>
        <v/>
      </c>
      <c r="X233" s="67" t="str">
        <f>IF($W233="YES",VLOOKUP($A233,'Editors Rescore'!$A$2:$M$63,13,FALSE),"")</f>
        <v/>
      </c>
      <c r="Y233" s="81">
        <f t="shared" si="14"/>
        <v>12.5</v>
      </c>
    </row>
    <row r="234" spans="1:25" s="7" customFormat="1" ht="32.15" customHeight="1" x14ac:dyDescent="0.3">
      <c r="A234" s="122" t="s">
        <v>503</v>
      </c>
      <c r="B234" s="115" t="s">
        <v>504</v>
      </c>
      <c r="C234" s="115" t="s">
        <v>505</v>
      </c>
      <c r="D234" s="76" t="s">
        <v>489</v>
      </c>
      <c r="E234" s="4" t="s">
        <v>490</v>
      </c>
      <c r="F234" s="4">
        <v>30997573</v>
      </c>
      <c r="G234" s="4" t="s">
        <v>611</v>
      </c>
      <c r="H234" s="5" t="s">
        <v>613</v>
      </c>
      <c r="I234" s="4" t="s">
        <v>612</v>
      </c>
      <c r="J234" s="11"/>
      <c r="K234" s="11"/>
      <c r="L234" s="6">
        <f>(2+1+1)</f>
        <v>4</v>
      </c>
      <c r="M234" s="4">
        <v>4</v>
      </c>
      <c r="N234" s="6">
        <f>(2+1+1)</f>
        <v>4</v>
      </c>
      <c r="O234" s="4">
        <v>4</v>
      </c>
      <c r="P234" s="6">
        <f>(1+2+0)</f>
        <v>3</v>
      </c>
      <c r="Q234" s="4">
        <v>4</v>
      </c>
      <c r="R234" s="6">
        <f>(0+1+0+0)</f>
        <v>1</v>
      </c>
      <c r="S234" s="4">
        <v>1</v>
      </c>
      <c r="T234" s="92">
        <f t="shared" si="12"/>
        <v>12</v>
      </c>
      <c r="U234" s="95">
        <f t="shared" si="13"/>
        <v>13</v>
      </c>
      <c r="V234" s="67">
        <f t="shared" si="15"/>
        <v>1</v>
      </c>
      <c r="W234" s="67" t="str">
        <f>IF(V234&gt;(MEDIAN(Scoring!V:V)+_xlfn.STDEV.P(Scoring!V:V)),"YES","")</f>
        <v/>
      </c>
      <c r="X234" s="67" t="str">
        <f>IF($W234="YES",VLOOKUP($A234,'Editors Rescore'!$A$2:$M$63,13,FALSE),"")</f>
        <v/>
      </c>
      <c r="Y234" s="81">
        <f t="shared" si="14"/>
        <v>12.5</v>
      </c>
    </row>
    <row r="235" spans="1:25" s="7" customFormat="1" ht="32.15" customHeight="1" x14ac:dyDescent="0.3">
      <c r="A235" s="128" t="s">
        <v>697</v>
      </c>
      <c r="B235" s="130" t="s">
        <v>698</v>
      </c>
      <c r="C235" s="113" t="s">
        <v>314</v>
      </c>
      <c r="D235" s="97" t="s">
        <v>17</v>
      </c>
      <c r="E235" s="93" t="s">
        <v>18</v>
      </c>
      <c r="F235" s="96">
        <v>30753452</v>
      </c>
      <c r="G235" s="93" t="s">
        <v>616</v>
      </c>
      <c r="H235" s="92" t="s">
        <v>604</v>
      </c>
      <c r="I235" s="93" t="s">
        <v>465</v>
      </c>
      <c r="J235" s="94"/>
      <c r="K235" s="94"/>
      <c r="L235" s="92">
        <v>3</v>
      </c>
      <c r="M235" s="93">
        <v>3</v>
      </c>
      <c r="N235" s="92">
        <v>3</v>
      </c>
      <c r="O235" s="93">
        <v>3</v>
      </c>
      <c r="P235" s="92">
        <v>5</v>
      </c>
      <c r="Q235" s="93">
        <v>3</v>
      </c>
      <c r="R235" s="92">
        <v>3</v>
      </c>
      <c r="S235" s="93">
        <v>2</v>
      </c>
      <c r="T235" s="92">
        <f t="shared" si="12"/>
        <v>14</v>
      </c>
      <c r="U235" s="95">
        <f t="shared" si="13"/>
        <v>11</v>
      </c>
      <c r="V235" s="67">
        <f t="shared" si="15"/>
        <v>3</v>
      </c>
      <c r="W235" s="67" t="str">
        <f>IF(V235&gt;(MEDIAN(Scoring!V:V)+_xlfn.STDEV.P(Scoring!V:V)),"YES","")</f>
        <v/>
      </c>
      <c r="X235" s="67" t="str">
        <f>IF($W235="YES",VLOOKUP($A235,'Editors Rescore'!$A$2:$M$63,13,FALSE),"")</f>
        <v/>
      </c>
      <c r="Y235" s="81">
        <f t="shared" si="14"/>
        <v>12.5</v>
      </c>
    </row>
    <row r="236" spans="1:25" s="7" customFormat="1" ht="16" customHeight="1" x14ac:dyDescent="0.3">
      <c r="A236" s="122" t="s">
        <v>400</v>
      </c>
      <c r="B236" s="112" t="s">
        <v>699</v>
      </c>
      <c r="C236" s="112" t="s">
        <v>401</v>
      </c>
      <c r="D236" s="4" t="s">
        <v>17</v>
      </c>
      <c r="E236" s="4" t="s">
        <v>18</v>
      </c>
      <c r="F236" s="8">
        <v>31552151</v>
      </c>
      <c r="G236" s="4" t="s">
        <v>128</v>
      </c>
      <c r="H236" s="5" t="s">
        <v>610</v>
      </c>
      <c r="I236" s="4" t="s">
        <v>609</v>
      </c>
      <c r="J236" s="11"/>
      <c r="K236" s="11"/>
      <c r="L236" s="6">
        <v>4</v>
      </c>
      <c r="M236" s="4">
        <v>4</v>
      </c>
      <c r="N236" s="6">
        <v>3</v>
      </c>
      <c r="O236" s="4">
        <v>3</v>
      </c>
      <c r="P236" s="6">
        <v>4</v>
      </c>
      <c r="Q236" s="4">
        <v>5</v>
      </c>
      <c r="R236" s="6">
        <v>0</v>
      </c>
      <c r="S236" s="4">
        <v>2</v>
      </c>
      <c r="T236" s="92">
        <f t="shared" si="12"/>
        <v>11</v>
      </c>
      <c r="U236" s="95">
        <f t="shared" si="13"/>
        <v>14</v>
      </c>
      <c r="V236" s="67">
        <f t="shared" si="15"/>
        <v>3</v>
      </c>
      <c r="W236" s="67" t="str">
        <f>IF(V236&gt;(MEDIAN(Scoring!V:V)+_xlfn.STDEV.P(Scoring!V:V)),"YES","")</f>
        <v/>
      </c>
      <c r="X236" s="67" t="str">
        <f>IF($W236="YES",VLOOKUP($A236,'Editors Rescore'!$A$2:$M$63,13,FALSE),"")</f>
        <v/>
      </c>
      <c r="Y236" s="81">
        <f t="shared" si="14"/>
        <v>12.5</v>
      </c>
    </row>
    <row r="237" spans="1:25" s="7" customFormat="1" ht="16" customHeight="1" x14ac:dyDescent="0.3">
      <c r="A237" s="122" t="s">
        <v>726</v>
      </c>
      <c r="B237" s="115" t="s">
        <v>727</v>
      </c>
      <c r="C237" s="115" t="s">
        <v>359</v>
      </c>
      <c r="D237" s="76" t="s">
        <v>29</v>
      </c>
      <c r="E237" s="4" t="s">
        <v>18</v>
      </c>
      <c r="F237" s="4">
        <v>31281856</v>
      </c>
      <c r="G237" s="76" t="s">
        <v>624</v>
      </c>
      <c r="H237" s="83" t="s">
        <v>366</v>
      </c>
      <c r="I237" s="76" t="s">
        <v>625</v>
      </c>
      <c r="J237" s="79"/>
      <c r="K237" s="79"/>
      <c r="L237" s="85">
        <v>3</v>
      </c>
      <c r="M237" s="76">
        <v>4</v>
      </c>
      <c r="N237" s="85">
        <v>4</v>
      </c>
      <c r="O237" s="76">
        <v>3</v>
      </c>
      <c r="P237" s="85">
        <v>2</v>
      </c>
      <c r="Q237" s="76">
        <v>4</v>
      </c>
      <c r="R237" s="85">
        <v>2</v>
      </c>
      <c r="S237" s="76">
        <v>3</v>
      </c>
      <c r="T237" s="92">
        <f t="shared" si="12"/>
        <v>11</v>
      </c>
      <c r="U237" s="95">
        <f t="shared" si="13"/>
        <v>14</v>
      </c>
      <c r="V237" s="67">
        <f t="shared" si="15"/>
        <v>3</v>
      </c>
      <c r="W237" s="67" t="str">
        <f>IF(V237&gt;(MEDIAN(Scoring!V:V)+_xlfn.STDEV.P(Scoring!V:V)),"YES","")</f>
        <v/>
      </c>
      <c r="X237" s="67" t="str">
        <f>IF($W237="YES",VLOOKUP($A237,'Editors Rescore'!$A$2:$M$63,13,FALSE),"")</f>
        <v/>
      </c>
      <c r="Y237" s="81">
        <f t="shared" si="14"/>
        <v>12.5</v>
      </c>
    </row>
    <row r="238" spans="1:25" s="7" customFormat="1" ht="16" customHeight="1" x14ac:dyDescent="0.3">
      <c r="A238" s="122" t="s">
        <v>385</v>
      </c>
      <c r="B238" s="115" t="s">
        <v>386</v>
      </c>
      <c r="C238" s="115" t="s">
        <v>387</v>
      </c>
      <c r="D238" s="76" t="s">
        <v>17</v>
      </c>
      <c r="E238" s="4" t="s">
        <v>18</v>
      </c>
      <c r="F238" s="4">
        <v>31488995</v>
      </c>
      <c r="G238" s="76" t="s">
        <v>128</v>
      </c>
      <c r="H238" s="83" t="s">
        <v>609</v>
      </c>
      <c r="I238" s="76" t="s">
        <v>610</v>
      </c>
      <c r="J238" s="79"/>
      <c r="K238" s="79"/>
      <c r="L238" s="85">
        <v>3</v>
      </c>
      <c r="M238" s="76">
        <v>3</v>
      </c>
      <c r="N238" s="85">
        <v>4</v>
      </c>
      <c r="O238" s="76">
        <v>4</v>
      </c>
      <c r="P238" s="85">
        <v>3</v>
      </c>
      <c r="Q238" s="76">
        <v>2</v>
      </c>
      <c r="R238" s="85">
        <v>3</v>
      </c>
      <c r="S238" s="76">
        <v>3</v>
      </c>
      <c r="T238" s="92">
        <f t="shared" si="12"/>
        <v>13</v>
      </c>
      <c r="U238" s="95">
        <f t="shared" si="13"/>
        <v>12</v>
      </c>
      <c r="V238" s="67">
        <f t="shared" si="15"/>
        <v>1</v>
      </c>
      <c r="W238" s="67" t="str">
        <f>IF(V238&gt;(MEDIAN(Scoring!V:V)+_xlfn.STDEV.P(Scoring!V:V)),"YES","")</f>
        <v/>
      </c>
      <c r="X238" s="67" t="str">
        <f>IF($W238="YES",VLOOKUP($A238,'Editors Rescore'!$A$2:$M$63,13,FALSE),"")</f>
        <v/>
      </c>
      <c r="Y238" s="81">
        <f t="shared" si="14"/>
        <v>12.5</v>
      </c>
    </row>
    <row r="239" spans="1:25" s="7" customFormat="1" ht="16" customHeight="1" x14ac:dyDescent="0.3">
      <c r="A239" s="114" t="s">
        <v>270</v>
      </c>
      <c r="B239" s="150" t="s">
        <v>754</v>
      </c>
      <c r="C239" s="113" t="s">
        <v>98</v>
      </c>
      <c r="D239" s="97" t="s">
        <v>29</v>
      </c>
      <c r="E239" s="93" t="s">
        <v>18</v>
      </c>
      <c r="F239" s="96">
        <v>30199575</v>
      </c>
      <c r="G239" s="93" t="s">
        <v>128</v>
      </c>
      <c r="H239" s="92" t="s">
        <v>610</v>
      </c>
      <c r="I239" s="93" t="s">
        <v>609</v>
      </c>
      <c r="J239" s="94"/>
      <c r="K239" s="94"/>
      <c r="L239" s="92">
        <v>3</v>
      </c>
      <c r="M239" s="93">
        <v>3</v>
      </c>
      <c r="N239" s="92">
        <v>2</v>
      </c>
      <c r="O239" s="93">
        <v>3</v>
      </c>
      <c r="P239" s="92">
        <v>5</v>
      </c>
      <c r="Q239" s="93">
        <v>4</v>
      </c>
      <c r="R239" s="92">
        <v>2</v>
      </c>
      <c r="S239" s="93">
        <v>3</v>
      </c>
      <c r="T239" s="92">
        <f t="shared" si="12"/>
        <v>12</v>
      </c>
      <c r="U239" s="95">
        <f t="shared" si="13"/>
        <v>13</v>
      </c>
      <c r="V239" s="67">
        <f t="shared" si="15"/>
        <v>1</v>
      </c>
      <c r="W239" s="67" t="str">
        <f>IF(V239&gt;(MEDIAN(Scoring!V:V)+_xlfn.STDEV.P(Scoring!V:V)),"YES","")</f>
        <v/>
      </c>
      <c r="X239" s="67" t="str">
        <f>IF($W239="YES",VLOOKUP($A239,'Editors Rescore'!$A$2:$M$63,13,FALSE),"")</f>
        <v/>
      </c>
      <c r="Y239" s="81">
        <f t="shared" si="14"/>
        <v>12.5</v>
      </c>
    </row>
    <row r="240" spans="1:25" s="7" customFormat="1" ht="16" customHeight="1" x14ac:dyDescent="0.3">
      <c r="A240" s="122" t="s">
        <v>766</v>
      </c>
      <c r="B240" s="115" t="s">
        <v>767</v>
      </c>
      <c r="C240" s="115" t="s">
        <v>229</v>
      </c>
      <c r="D240" s="76" t="s">
        <v>17</v>
      </c>
      <c r="E240" s="4" t="s">
        <v>19</v>
      </c>
      <c r="F240" s="4">
        <v>31564443</v>
      </c>
      <c r="G240" s="76" t="s">
        <v>605</v>
      </c>
      <c r="H240" s="77" t="s">
        <v>626</v>
      </c>
      <c r="I240" s="76" t="s">
        <v>318</v>
      </c>
      <c r="J240" s="77">
        <v>5</v>
      </c>
      <c r="K240" s="76">
        <v>5</v>
      </c>
      <c r="L240" s="77">
        <v>1</v>
      </c>
      <c r="M240" s="76">
        <v>2</v>
      </c>
      <c r="N240" s="79"/>
      <c r="O240" s="79"/>
      <c r="P240" s="77">
        <v>3</v>
      </c>
      <c r="Q240" s="76">
        <v>3</v>
      </c>
      <c r="R240" s="77">
        <v>4</v>
      </c>
      <c r="S240" s="76">
        <v>2</v>
      </c>
      <c r="T240" s="92">
        <f t="shared" si="12"/>
        <v>13</v>
      </c>
      <c r="U240" s="95">
        <f t="shared" si="13"/>
        <v>12</v>
      </c>
      <c r="V240" s="67">
        <f t="shared" si="15"/>
        <v>1</v>
      </c>
      <c r="W240" s="67" t="str">
        <f>IF(V240&gt;(MEDIAN(Scoring!V:V)+_xlfn.STDEV.P(Scoring!V:V)),"YES","")</f>
        <v/>
      </c>
      <c r="X240" s="67" t="str">
        <f>IF($W240="YES",VLOOKUP($A240,'Editors Rescore'!$A$2:$M$63,13,FALSE),"")</f>
        <v/>
      </c>
      <c r="Y240" s="81">
        <f t="shared" si="14"/>
        <v>12.5</v>
      </c>
    </row>
    <row r="241" spans="1:25" s="7" customFormat="1" ht="16" customHeight="1" x14ac:dyDescent="0.3">
      <c r="A241" s="122" t="s">
        <v>770</v>
      </c>
      <c r="B241" s="115" t="s">
        <v>769</v>
      </c>
      <c r="C241" s="115" t="s">
        <v>314</v>
      </c>
      <c r="D241" s="76" t="s">
        <v>29</v>
      </c>
      <c r="E241" s="4" t="s">
        <v>18</v>
      </c>
      <c r="F241" s="4">
        <v>31625558</v>
      </c>
      <c r="G241" s="4" t="s">
        <v>616</v>
      </c>
      <c r="H241" s="5" t="s">
        <v>465</v>
      </c>
      <c r="I241" s="4" t="s">
        <v>604</v>
      </c>
      <c r="J241" s="11"/>
      <c r="K241" s="11"/>
      <c r="L241" s="6">
        <v>2</v>
      </c>
      <c r="M241" s="4">
        <v>3</v>
      </c>
      <c r="N241" s="6">
        <v>4</v>
      </c>
      <c r="O241" s="4">
        <v>4</v>
      </c>
      <c r="P241" s="6">
        <v>3</v>
      </c>
      <c r="Q241" s="4">
        <v>5</v>
      </c>
      <c r="R241" s="6">
        <v>3</v>
      </c>
      <c r="S241" s="4">
        <v>1</v>
      </c>
      <c r="T241" s="92">
        <f t="shared" si="12"/>
        <v>12</v>
      </c>
      <c r="U241" s="95">
        <f t="shared" si="13"/>
        <v>13</v>
      </c>
      <c r="V241" s="67">
        <f t="shared" si="15"/>
        <v>1</v>
      </c>
      <c r="W241" s="67" t="str">
        <f>IF(V241&gt;(MEDIAN(Scoring!V:V)+_xlfn.STDEV.P(Scoring!V:V)),"YES","")</f>
        <v/>
      </c>
      <c r="X241" s="67" t="str">
        <f>IF($W241="YES",VLOOKUP($A241,'Editors Rescore'!$A$2:$M$63,13,FALSE),"")</f>
        <v/>
      </c>
      <c r="Y241" s="81">
        <f t="shared" si="14"/>
        <v>12.5</v>
      </c>
    </row>
    <row r="242" spans="1:25" s="7" customFormat="1" ht="16" customHeight="1" x14ac:dyDescent="0.3">
      <c r="A242" s="2" t="s">
        <v>345</v>
      </c>
      <c r="B242" s="121" t="s">
        <v>331</v>
      </c>
      <c r="C242" s="121" t="s">
        <v>346</v>
      </c>
      <c r="D242" s="82" t="s">
        <v>17</v>
      </c>
      <c r="E242" s="68" t="s">
        <v>18</v>
      </c>
      <c r="F242" s="69">
        <v>30857525</v>
      </c>
      <c r="G242" s="68" t="s">
        <v>605</v>
      </c>
      <c r="H242" s="71" t="s">
        <v>318</v>
      </c>
      <c r="I242" s="68" t="s">
        <v>626</v>
      </c>
      <c r="J242" s="72"/>
      <c r="K242" s="72"/>
      <c r="L242" s="71">
        <v>3</v>
      </c>
      <c r="M242" s="68">
        <v>2</v>
      </c>
      <c r="N242" s="71">
        <v>4</v>
      </c>
      <c r="O242" s="68">
        <v>4</v>
      </c>
      <c r="P242" s="71">
        <v>2</v>
      </c>
      <c r="Q242" s="68">
        <v>4</v>
      </c>
      <c r="R242" s="71">
        <v>2</v>
      </c>
      <c r="S242" s="68">
        <v>4</v>
      </c>
      <c r="T242" s="92">
        <f t="shared" si="12"/>
        <v>11</v>
      </c>
      <c r="U242" s="95">
        <f t="shared" si="13"/>
        <v>14</v>
      </c>
      <c r="V242" s="67">
        <f t="shared" si="15"/>
        <v>3</v>
      </c>
      <c r="W242" s="67" t="str">
        <f>IF(V242&gt;(MEDIAN(Scoring!V:V)+_xlfn.STDEV.P(Scoring!V:V)),"YES","")</f>
        <v/>
      </c>
      <c r="X242" s="67" t="str">
        <f>IF($W242="YES",VLOOKUP($A242,'Editors Rescore'!$A$2:$M$63,13,FALSE),"")</f>
        <v/>
      </c>
      <c r="Y242" s="81">
        <f t="shared" si="14"/>
        <v>12.5</v>
      </c>
    </row>
    <row r="243" spans="1:25" s="7" customFormat="1" ht="16" customHeight="1" x14ac:dyDescent="0.3">
      <c r="A243" s="122" t="s">
        <v>423</v>
      </c>
      <c r="B243" s="155" t="s">
        <v>779</v>
      </c>
      <c r="C243" s="119" t="s">
        <v>424</v>
      </c>
      <c r="D243" s="10" t="s">
        <v>17</v>
      </c>
      <c r="E243" s="4" t="s">
        <v>18</v>
      </c>
      <c r="F243" s="8">
        <v>31832015</v>
      </c>
      <c r="G243" s="76" t="s">
        <v>619</v>
      </c>
      <c r="H243" s="83" t="s">
        <v>623</v>
      </c>
      <c r="I243" s="76" t="s">
        <v>622</v>
      </c>
      <c r="J243" s="79"/>
      <c r="K243" s="79"/>
      <c r="L243" s="85">
        <v>3</v>
      </c>
      <c r="M243" s="76">
        <v>3</v>
      </c>
      <c r="N243" s="85">
        <v>4</v>
      </c>
      <c r="O243" s="76">
        <v>4</v>
      </c>
      <c r="P243" s="85">
        <v>3</v>
      </c>
      <c r="Q243" s="76">
        <v>3</v>
      </c>
      <c r="R243" s="85">
        <v>3</v>
      </c>
      <c r="S243" s="76">
        <v>2</v>
      </c>
      <c r="T243" s="92">
        <f t="shared" si="12"/>
        <v>13</v>
      </c>
      <c r="U243" s="95">
        <f t="shared" si="13"/>
        <v>12</v>
      </c>
      <c r="V243" s="67">
        <f t="shared" si="15"/>
        <v>1</v>
      </c>
      <c r="W243" s="67" t="str">
        <f>IF(V243&gt;(MEDIAN(Scoring!V:V)+_xlfn.STDEV.P(Scoring!V:V)),"YES","")</f>
        <v/>
      </c>
      <c r="X243" s="67" t="str">
        <f>IF($W243="YES",VLOOKUP($A243,'Editors Rescore'!$A$2:$M$63,13,FALSE),"")</f>
        <v/>
      </c>
      <c r="Y243" s="81">
        <f t="shared" si="14"/>
        <v>12.5</v>
      </c>
    </row>
    <row r="244" spans="1:25" s="7" customFormat="1" ht="16" customHeight="1" x14ac:dyDescent="0.3">
      <c r="A244" s="114" t="s">
        <v>92</v>
      </c>
      <c r="B244" s="158" t="s">
        <v>804</v>
      </c>
      <c r="C244" s="118" t="s">
        <v>33</v>
      </c>
      <c r="D244" s="100" t="s">
        <v>29</v>
      </c>
      <c r="E244" s="93" t="s">
        <v>18</v>
      </c>
      <c r="F244" s="96">
        <v>30919800</v>
      </c>
      <c r="G244" s="93" t="s">
        <v>619</v>
      </c>
      <c r="H244" s="92" t="s">
        <v>621</v>
      </c>
      <c r="I244" s="93" t="s">
        <v>620</v>
      </c>
      <c r="J244" s="94"/>
      <c r="K244" s="94"/>
      <c r="L244" s="92">
        <v>4</v>
      </c>
      <c r="M244" s="93">
        <v>3</v>
      </c>
      <c r="N244" s="92">
        <v>4</v>
      </c>
      <c r="O244" s="93">
        <v>4</v>
      </c>
      <c r="P244" s="92">
        <v>2</v>
      </c>
      <c r="Q244" s="93">
        <v>5</v>
      </c>
      <c r="R244" s="92">
        <v>1</v>
      </c>
      <c r="S244" s="93">
        <v>2</v>
      </c>
      <c r="T244" s="92">
        <f t="shared" si="12"/>
        <v>11</v>
      </c>
      <c r="U244" s="95">
        <f t="shared" si="13"/>
        <v>14</v>
      </c>
      <c r="V244" s="67">
        <f t="shared" si="15"/>
        <v>3</v>
      </c>
      <c r="W244" s="67" t="str">
        <f>IF(V244&gt;(MEDIAN(Scoring!V:V)+_xlfn.STDEV.P(Scoring!V:V)),"YES","")</f>
        <v/>
      </c>
      <c r="X244" s="67" t="str">
        <f>IF($W244="YES",VLOOKUP($A244,'Editors Rescore'!$A$2:$M$63,13,FALSE),"")</f>
        <v/>
      </c>
      <c r="Y244" s="81">
        <f t="shared" si="14"/>
        <v>12.5</v>
      </c>
    </row>
    <row r="245" spans="1:25" s="7" customFormat="1" ht="32.15" customHeight="1" x14ac:dyDescent="0.3">
      <c r="A245" s="133" t="s">
        <v>822</v>
      </c>
      <c r="B245" s="118" t="s">
        <v>235</v>
      </c>
      <c r="C245" s="118" t="s">
        <v>284</v>
      </c>
      <c r="D245" s="100" t="s">
        <v>25</v>
      </c>
      <c r="E245" s="93" t="s">
        <v>18</v>
      </c>
      <c r="F245" s="96">
        <v>30709389</v>
      </c>
      <c r="G245" s="93" t="s">
        <v>616</v>
      </c>
      <c r="H245" s="92" t="s">
        <v>465</v>
      </c>
      <c r="I245" s="93" t="s">
        <v>604</v>
      </c>
      <c r="J245" s="94"/>
      <c r="K245" s="94"/>
      <c r="L245" s="92">
        <v>3</v>
      </c>
      <c r="M245" s="93">
        <v>4</v>
      </c>
      <c r="N245" s="92">
        <v>4</v>
      </c>
      <c r="O245" s="93">
        <v>4</v>
      </c>
      <c r="P245" s="92">
        <v>3</v>
      </c>
      <c r="Q245" s="93">
        <v>3</v>
      </c>
      <c r="R245" s="92">
        <v>2</v>
      </c>
      <c r="S245" s="93">
        <v>2</v>
      </c>
      <c r="T245" s="92">
        <f t="shared" si="12"/>
        <v>12</v>
      </c>
      <c r="U245" s="95">
        <f t="shared" si="13"/>
        <v>13</v>
      </c>
      <c r="V245" s="67">
        <f t="shared" si="15"/>
        <v>1</v>
      </c>
      <c r="W245" s="67" t="str">
        <f>IF(V245&gt;(MEDIAN(Scoring!V:V)+_xlfn.STDEV.P(Scoring!V:V)),"YES","")</f>
        <v/>
      </c>
      <c r="X245" s="67" t="str">
        <f>IF($W245="YES",VLOOKUP($A245,'Editors Rescore'!$A$2:$M$63,13,FALSE),"")</f>
        <v/>
      </c>
      <c r="Y245" s="81">
        <f t="shared" si="14"/>
        <v>12.5</v>
      </c>
    </row>
    <row r="246" spans="1:25" s="7" customFormat="1" ht="32.15" customHeight="1" x14ac:dyDescent="0.3">
      <c r="A246" s="122" t="s">
        <v>451</v>
      </c>
      <c r="B246" s="119" t="s">
        <v>452</v>
      </c>
      <c r="C246" s="119" t="s">
        <v>77</v>
      </c>
      <c r="D246" s="10" t="s">
        <v>25</v>
      </c>
      <c r="E246" s="4" t="s">
        <v>18</v>
      </c>
      <c r="F246" s="4">
        <v>31738712</v>
      </c>
      <c r="G246" s="4" t="s">
        <v>619</v>
      </c>
      <c r="H246" s="5" t="s">
        <v>620</v>
      </c>
      <c r="I246" s="4" t="s">
        <v>621</v>
      </c>
      <c r="J246" s="11"/>
      <c r="K246" s="11"/>
      <c r="L246" s="6">
        <v>3</v>
      </c>
      <c r="M246" s="4">
        <v>4</v>
      </c>
      <c r="N246" s="6">
        <v>3</v>
      </c>
      <c r="O246" s="4">
        <v>4</v>
      </c>
      <c r="P246" s="6">
        <v>3</v>
      </c>
      <c r="Q246" s="4">
        <v>3</v>
      </c>
      <c r="R246" s="6">
        <v>3</v>
      </c>
      <c r="S246" s="4">
        <v>2</v>
      </c>
      <c r="T246" s="92">
        <f t="shared" si="12"/>
        <v>12</v>
      </c>
      <c r="U246" s="95">
        <f t="shared" si="13"/>
        <v>13</v>
      </c>
      <c r="V246" s="67">
        <f t="shared" si="15"/>
        <v>1</v>
      </c>
      <c r="W246" s="67" t="str">
        <f>IF(V246&gt;(MEDIAN(Scoring!V:V)+_xlfn.STDEV.P(Scoring!V:V)),"YES","")</f>
        <v/>
      </c>
      <c r="X246" s="67" t="str">
        <f>IF($W246="YES",VLOOKUP($A246,'Editors Rescore'!$A$2:$M$63,13,FALSE),"")</f>
        <v/>
      </c>
      <c r="Y246" s="81">
        <f t="shared" si="14"/>
        <v>12.5</v>
      </c>
    </row>
    <row r="247" spans="1:25" s="7" customFormat="1" ht="32.15" customHeight="1" x14ac:dyDescent="0.3">
      <c r="A247" s="122" t="s">
        <v>380</v>
      </c>
      <c r="B247" s="154" t="s">
        <v>876</v>
      </c>
      <c r="C247" s="154" t="s">
        <v>72</v>
      </c>
      <c r="D247" s="156" t="s">
        <v>17</v>
      </c>
      <c r="E247" s="4" t="s">
        <v>18</v>
      </c>
      <c r="F247" s="4">
        <v>31133592</v>
      </c>
      <c r="G247" s="76" t="s">
        <v>624</v>
      </c>
      <c r="H247" s="83" t="s">
        <v>625</v>
      </c>
      <c r="I247" s="76" t="s">
        <v>366</v>
      </c>
      <c r="J247" s="79"/>
      <c r="K247" s="79"/>
      <c r="L247" s="85">
        <v>3</v>
      </c>
      <c r="M247" s="76">
        <v>3</v>
      </c>
      <c r="N247" s="85">
        <v>4</v>
      </c>
      <c r="O247" s="76">
        <v>4</v>
      </c>
      <c r="P247" s="85">
        <v>3</v>
      </c>
      <c r="Q247" s="76">
        <v>3</v>
      </c>
      <c r="R247" s="85">
        <v>4</v>
      </c>
      <c r="S247" s="76">
        <v>1</v>
      </c>
      <c r="T247" s="92">
        <f t="shared" si="12"/>
        <v>14</v>
      </c>
      <c r="U247" s="95">
        <f t="shared" si="13"/>
        <v>11</v>
      </c>
      <c r="V247" s="67">
        <f t="shared" si="15"/>
        <v>3</v>
      </c>
      <c r="W247" s="67" t="str">
        <f>IF(V247&gt;(MEDIAN(Scoring!V:V)+_xlfn.STDEV.P(Scoring!V:V)),"YES","")</f>
        <v/>
      </c>
      <c r="X247" s="67" t="str">
        <f>IF($W247="YES",VLOOKUP($A247,'Editors Rescore'!$A$2:$M$63,13,FALSE),"")</f>
        <v/>
      </c>
      <c r="Y247" s="81">
        <f t="shared" si="14"/>
        <v>12.5</v>
      </c>
    </row>
    <row r="248" spans="1:25" s="7" customFormat="1" ht="32.15" customHeight="1" x14ac:dyDescent="0.3">
      <c r="A248" s="122" t="s">
        <v>473</v>
      </c>
      <c r="B248" s="119" t="s">
        <v>878</v>
      </c>
      <c r="C248" s="119" t="s">
        <v>877</v>
      </c>
      <c r="D248" s="10" t="s">
        <v>17</v>
      </c>
      <c r="E248" s="4" t="s">
        <v>18</v>
      </c>
      <c r="F248" s="4">
        <v>31616598</v>
      </c>
      <c r="G248" s="4" t="s">
        <v>616</v>
      </c>
      <c r="H248" s="5" t="s">
        <v>604</v>
      </c>
      <c r="I248" s="4" t="s">
        <v>465</v>
      </c>
      <c r="J248" s="11"/>
      <c r="K248" s="11"/>
      <c r="L248" s="6">
        <v>4</v>
      </c>
      <c r="M248" s="4">
        <v>4</v>
      </c>
      <c r="N248" s="6">
        <v>4</v>
      </c>
      <c r="O248" s="4">
        <v>4</v>
      </c>
      <c r="P248" s="6">
        <v>3</v>
      </c>
      <c r="Q248" s="4">
        <v>5</v>
      </c>
      <c r="R248" s="6">
        <v>1</v>
      </c>
      <c r="S248" s="4">
        <v>0</v>
      </c>
      <c r="T248" s="92">
        <f t="shared" si="12"/>
        <v>12</v>
      </c>
      <c r="U248" s="95">
        <f t="shared" si="13"/>
        <v>13</v>
      </c>
      <c r="V248" s="67">
        <f t="shared" si="15"/>
        <v>1</v>
      </c>
      <c r="W248" s="67" t="str">
        <f>IF(V248&gt;(MEDIAN(Scoring!V:V)+_xlfn.STDEV.P(Scoring!V:V)),"YES","")</f>
        <v/>
      </c>
      <c r="X248" s="67" t="str">
        <f>IF($W248="YES",VLOOKUP($A248,'Editors Rescore'!$A$2:$M$63,13,FALSE),"")</f>
        <v/>
      </c>
      <c r="Y248" s="81">
        <f t="shared" si="14"/>
        <v>12.5</v>
      </c>
    </row>
    <row r="249" spans="1:25" s="7" customFormat="1" ht="32.15" customHeight="1" x14ac:dyDescent="0.3">
      <c r="A249" s="114" t="s">
        <v>291</v>
      </c>
      <c r="B249" s="157" t="s">
        <v>918</v>
      </c>
      <c r="C249" s="118" t="s">
        <v>292</v>
      </c>
      <c r="D249" s="100" t="s">
        <v>17</v>
      </c>
      <c r="E249" s="93" t="s">
        <v>18</v>
      </c>
      <c r="F249" s="96">
        <v>31274824</v>
      </c>
      <c r="G249" s="93" t="s">
        <v>128</v>
      </c>
      <c r="H249" s="92" t="s">
        <v>607</v>
      </c>
      <c r="I249" s="93" t="s">
        <v>608</v>
      </c>
      <c r="J249" s="94"/>
      <c r="K249" s="94"/>
      <c r="L249" s="92">
        <v>4</v>
      </c>
      <c r="M249" s="93">
        <v>4</v>
      </c>
      <c r="N249" s="92">
        <v>1</v>
      </c>
      <c r="O249" s="93">
        <v>1</v>
      </c>
      <c r="P249" s="92">
        <v>5</v>
      </c>
      <c r="Q249" s="93">
        <v>5</v>
      </c>
      <c r="R249" s="92">
        <v>4</v>
      </c>
      <c r="S249" s="93">
        <v>1</v>
      </c>
      <c r="T249" s="92">
        <f t="shared" si="12"/>
        <v>14</v>
      </c>
      <c r="U249" s="95">
        <f t="shared" si="13"/>
        <v>11</v>
      </c>
      <c r="V249" s="67">
        <f t="shared" si="15"/>
        <v>3</v>
      </c>
      <c r="W249" s="67" t="str">
        <f>IF(V249&gt;(MEDIAN(Scoring!V:V)+_xlfn.STDEV.P(Scoring!V:V)),"YES","")</f>
        <v/>
      </c>
      <c r="X249" s="67" t="str">
        <f>IF($W249="YES",VLOOKUP($A249,'Editors Rescore'!$A$2:$M$63,13,FALSE),"")</f>
        <v/>
      </c>
      <c r="Y249" s="81">
        <f t="shared" si="14"/>
        <v>12.5</v>
      </c>
    </row>
    <row r="250" spans="1:25" s="7" customFormat="1" ht="32.15" customHeight="1" x14ac:dyDescent="0.3">
      <c r="A250" s="123" t="s">
        <v>132</v>
      </c>
      <c r="B250" s="157" t="s">
        <v>923</v>
      </c>
      <c r="C250" s="118" t="s">
        <v>99</v>
      </c>
      <c r="D250" s="109" t="s">
        <v>17</v>
      </c>
      <c r="E250" s="103" t="s">
        <v>19</v>
      </c>
      <c r="F250" s="103">
        <v>31370800</v>
      </c>
      <c r="G250" s="103" t="s">
        <v>128</v>
      </c>
      <c r="H250" s="107" t="s">
        <v>610</v>
      </c>
      <c r="I250" s="103" t="s">
        <v>609</v>
      </c>
      <c r="J250" s="107">
        <v>5</v>
      </c>
      <c r="K250" s="103">
        <v>5</v>
      </c>
      <c r="L250" s="107">
        <v>2</v>
      </c>
      <c r="M250" s="103">
        <v>2</v>
      </c>
      <c r="N250" s="108"/>
      <c r="O250" s="108"/>
      <c r="P250" s="107">
        <v>5</v>
      </c>
      <c r="Q250" s="103">
        <v>2</v>
      </c>
      <c r="R250" s="107">
        <v>2</v>
      </c>
      <c r="S250" s="103">
        <v>2</v>
      </c>
      <c r="T250" s="92">
        <f t="shared" si="12"/>
        <v>14</v>
      </c>
      <c r="U250" s="95">
        <f t="shared" si="13"/>
        <v>11</v>
      </c>
      <c r="V250" s="67">
        <f t="shared" si="15"/>
        <v>3</v>
      </c>
      <c r="W250" s="67" t="str">
        <f>IF(V250&gt;(MEDIAN(Scoring!V:V)+_xlfn.STDEV.P(Scoring!V:V)),"YES","")</f>
        <v/>
      </c>
      <c r="X250" s="67" t="str">
        <f>IF($W250="YES",VLOOKUP($A250,'Editors Rescore'!$A$2:$M$63,13,FALSE),"")</f>
        <v/>
      </c>
      <c r="Y250" s="81">
        <f t="shared" si="14"/>
        <v>12.5</v>
      </c>
    </row>
    <row r="251" spans="1:25" s="7" customFormat="1" ht="16" customHeight="1" x14ac:dyDescent="0.3">
      <c r="A251" s="122" t="s">
        <v>412</v>
      </c>
      <c r="B251" s="119" t="s">
        <v>651</v>
      </c>
      <c r="C251" s="119" t="s">
        <v>26</v>
      </c>
      <c r="D251" s="10" t="s">
        <v>17</v>
      </c>
      <c r="E251" s="4" t="s">
        <v>18</v>
      </c>
      <c r="F251" s="4">
        <v>31852481</v>
      </c>
      <c r="G251" s="4" t="s">
        <v>128</v>
      </c>
      <c r="H251" s="5" t="s">
        <v>607</v>
      </c>
      <c r="I251" s="4" t="s">
        <v>608</v>
      </c>
      <c r="J251" s="11"/>
      <c r="K251" s="11"/>
      <c r="L251" s="6">
        <v>3</v>
      </c>
      <c r="M251" s="4">
        <v>3</v>
      </c>
      <c r="N251" s="6">
        <v>4</v>
      </c>
      <c r="O251" s="4">
        <v>4</v>
      </c>
      <c r="P251" s="6">
        <v>4</v>
      </c>
      <c r="Q251" s="4">
        <v>2</v>
      </c>
      <c r="R251" s="6">
        <v>3</v>
      </c>
      <c r="S251" s="4">
        <v>1</v>
      </c>
      <c r="T251" s="92">
        <f t="shared" si="12"/>
        <v>14</v>
      </c>
      <c r="U251" s="95">
        <f t="shared" si="13"/>
        <v>10</v>
      </c>
      <c r="V251" s="67">
        <f t="shared" si="15"/>
        <v>4</v>
      </c>
      <c r="W251" s="67" t="str">
        <f>IF(V251&gt;(MEDIAN(Scoring!V:V)+_xlfn.STDEV.P(Scoring!V:V)),"YES","")</f>
        <v>YES</v>
      </c>
      <c r="X251" s="67">
        <f>IF($W251="YES",VLOOKUP($A251,'Editors Rescore'!$A$2:$M$63,13,FALSE),"")</f>
        <v>13</v>
      </c>
      <c r="Y251" s="81">
        <f t="shared" si="14"/>
        <v>12.333333333333334</v>
      </c>
    </row>
    <row r="252" spans="1:25" s="7" customFormat="1" ht="16" customHeight="1" x14ac:dyDescent="0.3">
      <c r="A252" s="140" t="s">
        <v>905</v>
      </c>
      <c r="B252" s="118" t="s">
        <v>228</v>
      </c>
      <c r="C252" s="118" t="s">
        <v>52</v>
      </c>
      <c r="D252" s="100" t="s">
        <v>25</v>
      </c>
      <c r="E252" s="93" t="s">
        <v>18</v>
      </c>
      <c r="F252" s="96">
        <v>31374102</v>
      </c>
      <c r="G252" s="93" t="s">
        <v>616</v>
      </c>
      <c r="H252" s="92" t="s">
        <v>617</v>
      </c>
      <c r="I252" s="93" t="s">
        <v>618</v>
      </c>
      <c r="J252" s="94"/>
      <c r="K252" s="94"/>
      <c r="L252" s="92">
        <v>3</v>
      </c>
      <c r="M252" s="93">
        <v>3</v>
      </c>
      <c r="N252" s="92">
        <v>3</v>
      </c>
      <c r="O252" s="93">
        <v>4</v>
      </c>
      <c r="P252" s="92">
        <v>5</v>
      </c>
      <c r="Q252" s="93">
        <v>1</v>
      </c>
      <c r="R252" s="92">
        <v>3</v>
      </c>
      <c r="S252" s="93">
        <v>1</v>
      </c>
      <c r="T252" s="92">
        <f t="shared" si="12"/>
        <v>14</v>
      </c>
      <c r="U252" s="95">
        <f t="shared" si="13"/>
        <v>9</v>
      </c>
      <c r="V252" s="67">
        <f t="shared" si="15"/>
        <v>5</v>
      </c>
      <c r="W252" s="67" t="str">
        <f>IF(V252&gt;(MEDIAN(Scoring!V:V)+_xlfn.STDEV.P(Scoring!V:V)),"YES","")</f>
        <v>YES</v>
      </c>
      <c r="X252" s="67">
        <f>IF($W252="YES",VLOOKUP($A252,'Editors Rescore'!$A$2:$M$63,13,FALSE),"")</f>
        <v>14</v>
      </c>
      <c r="Y252" s="81">
        <f t="shared" si="14"/>
        <v>12.333333333333334</v>
      </c>
    </row>
    <row r="253" spans="1:25" s="7" customFormat="1" ht="16" customHeight="1" x14ac:dyDescent="0.3">
      <c r="A253" s="122" t="s">
        <v>495</v>
      </c>
      <c r="B253" s="119" t="s">
        <v>496</v>
      </c>
      <c r="C253" s="119" t="s">
        <v>497</v>
      </c>
      <c r="D253" s="10" t="s">
        <v>492</v>
      </c>
      <c r="E253" s="4" t="s">
        <v>490</v>
      </c>
      <c r="F253" s="4">
        <v>31811740</v>
      </c>
      <c r="G253" s="4" t="s">
        <v>611</v>
      </c>
      <c r="H253" s="5" t="s">
        <v>612</v>
      </c>
      <c r="I253" s="4" t="s">
        <v>613</v>
      </c>
      <c r="J253" s="11"/>
      <c r="K253" s="11"/>
      <c r="L253" s="6">
        <v>3</v>
      </c>
      <c r="M253" s="4">
        <f>(1+1+1)</f>
        <v>3</v>
      </c>
      <c r="N253" s="6">
        <v>2</v>
      </c>
      <c r="O253" s="4">
        <f>(2+1+1)</f>
        <v>4</v>
      </c>
      <c r="P253" s="6">
        <v>3</v>
      </c>
      <c r="Q253" s="4">
        <f>(0+2+0)</f>
        <v>2</v>
      </c>
      <c r="R253" s="6">
        <v>4</v>
      </c>
      <c r="S253" s="4">
        <f>(1+1+1+0)</f>
        <v>3</v>
      </c>
      <c r="T253" s="92">
        <f t="shared" si="12"/>
        <v>12</v>
      </c>
      <c r="U253" s="95">
        <f t="shared" si="13"/>
        <v>12</v>
      </c>
      <c r="V253" s="67">
        <f t="shared" si="15"/>
        <v>0</v>
      </c>
      <c r="W253" s="67" t="str">
        <f>IF(V253&gt;(MEDIAN(Scoring!V:V)+_xlfn.STDEV.P(Scoring!V:V)),"YES","")</f>
        <v/>
      </c>
      <c r="X253" s="67" t="str">
        <f>IF($W253="YES",VLOOKUP($A253,'Editors Rescore'!$A$2:$M$63,13,FALSE),"")</f>
        <v/>
      </c>
      <c r="Y253" s="81">
        <f t="shared" si="14"/>
        <v>12</v>
      </c>
    </row>
    <row r="254" spans="1:25" s="7" customFormat="1" ht="16" customHeight="1" x14ac:dyDescent="0.3">
      <c r="A254" s="128" t="s">
        <v>711</v>
      </c>
      <c r="B254" s="118" t="s">
        <v>241</v>
      </c>
      <c r="C254" s="118" t="s">
        <v>242</v>
      </c>
      <c r="D254" s="100" t="s">
        <v>29</v>
      </c>
      <c r="E254" s="93" t="s">
        <v>18</v>
      </c>
      <c r="F254" s="96">
        <v>31017179</v>
      </c>
      <c r="G254" s="93" t="s">
        <v>616</v>
      </c>
      <c r="H254" s="92" t="s">
        <v>604</v>
      </c>
      <c r="I254" s="93" t="s">
        <v>465</v>
      </c>
      <c r="J254" s="94"/>
      <c r="K254" s="94"/>
      <c r="L254" s="92">
        <v>4</v>
      </c>
      <c r="M254" s="93">
        <v>4</v>
      </c>
      <c r="N254" s="92">
        <v>3</v>
      </c>
      <c r="O254" s="93">
        <v>3</v>
      </c>
      <c r="P254" s="92">
        <v>3</v>
      </c>
      <c r="Q254" s="93">
        <v>3</v>
      </c>
      <c r="R254" s="92">
        <v>2</v>
      </c>
      <c r="S254" s="93">
        <v>2</v>
      </c>
      <c r="T254" s="92">
        <f t="shared" si="12"/>
        <v>12</v>
      </c>
      <c r="U254" s="95">
        <f t="shared" si="13"/>
        <v>12</v>
      </c>
      <c r="V254" s="67">
        <f t="shared" si="15"/>
        <v>0</v>
      </c>
      <c r="W254" s="67" t="str">
        <f>IF(V254&gt;(MEDIAN(Scoring!V:V)+_xlfn.STDEV.P(Scoring!V:V)),"YES","")</f>
        <v/>
      </c>
      <c r="X254" s="67" t="str">
        <f>IF($W254="YES",VLOOKUP($A254,'Editors Rescore'!$A$2:$M$63,13,FALSE),"")</f>
        <v/>
      </c>
      <c r="Y254" s="81">
        <f t="shared" si="14"/>
        <v>12</v>
      </c>
    </row>
    <row r="255" spans="1:25" s="7" customFormat="1" ht="16" customHeight="1" x14ac:dyDescent="0.3">
      <c r="A255" s="122" t="s">
        <v>402</v>
      </c>
      <c r="B255" s="119" t="s">
        <v>403</v>
      </c>
      <c r="C255" s="119" t="s">
        <v>404</v>
      </c>
      <c r="D255" s="10" t="s">
        <v>17</v>
      </c>
      <c r="E255" s="4" t="s">
        <v>18</v>
      </c>
      <c r="F255" s="8">
        <v>31865941</v>
      </c>
      <c r="G255" s="4" t="s">
        <v>128</v>
      </c>
      <c r="H255" s="83" t="s">
        <v>610</v>
      </c>
      <c r="I255" s="4" t="s">
        <v>609</v>
      </c>
      <c r="J255" s="11"/>
      <c r="K255" s="11"/>
      <c r="L255" s="85">
        <v>4</v>
      </c>
      <c r="M255" s="4">
        <v>3</v>
      </c>
      <c r="N255" s="85">
        <v>4</v>
      </c>
      <c r="O255" s="4">
        <v>4</v>
      </c>
      <c r="P255" s="85">
        <v>3</v>
      </c>
      <c r="Q255" s="4">
        <v>3</v>
      </c>
      <c r="R255" s="85">
        <v>0</v>
      </c>
      <c r="S255" s="4">
        <v>3</v>
      </c>
      <c r="T255" s="92">
        <f t="shared" si="12"/>
        <v>11</v>
      </c>
      <c r="U255" s="95">
        <f t="shared" si="13"/>
        <v>13</v>
      </c>
      <c r="V255" s="67">
        <f t="shared" si="15"/>
        <v>2</v>
      </c>
      <c r="W255" s="67" t="str">
        <f>IF(V255&gt;(MEDIAN(Scoring!V:V)+_xlfn.STDEV.P(Scoring!V:V)),"YES","")</f>
        <v/>
      </c>
      <c r="X255" s="67" t="str">
        <f>IF($W255="YES",VLOOKUP($A255,'Editors Rescore'!$A$2:$M$63,13,FALSE),"")</f>
        <v/>
      </c>
      <c r="Y255" s="81">
        <f t="shared" si="14"/>
        <v>12</v>
      </c>
    </row>
    <row r="256" spans="1:25" s="7" customFormat="1" ht="32.15" customHeight="1" x14ac:dyDescent="0.3">
      <c r="A256" s="114" t="s">
        <v>208</v>
      </c>
      <c r="B256" s="130" t="s">
        <v>701</v>
      </c>
      <c r="C256" s="113" t="s">
        <v>209</v>
      </c>
      <c r="D256" s="97" t="s">
        <v>25</v>
      </c>
      <c r="E256" s="93" t="s">
        <v>18</v>
      </c>
      <c r="F256" s="96">
        <v>30680345</v>
      </c>
      <c r="G256" s="97" t="s">
        <v>611</v>
      </c>
      <c r="H256" s="98" t="s">
        <v>613</v>
      </c>
      <c r="I256" s="97" t="s">
        <v>612</v>
      </c>
      <c r="J256" s="99"/>
      <c r="K256" s="99"/>
      <c r="L256" s="98">
        <v>3</v>
      </c>
      <c r="M256" s="97">
        <v>3</v>
      </c>
      <c r="N256" s="98">
        <v>3</v>
      </c>
      <c r="O256" s="97">
        <v>3</v>
      </c>
      <c r="P256" s="98">
        <v>1</v>
      </c>
      <c r="Q256" s="97">
        <v>5</v>
      </c>
      <c r="R256" s="98">
        <v>2</v>
      </c>
      <c r="S256" s="97">
        <v>3</v>
      </c>
      <c r="T256" s="92">
        <f t="shared" si="12"/>
        <v>9</v>
      </c>
      <c r="U256" s="95">
        <f t="shared" si="13"/>
        <v>14</v>
      </c>
      <c r="V256" s="67">
        <f t="shared" si="15"/>
        <v>5</v>
      </c>
      <c r="W256" s="67" t="str">
        <f>IF(V256&gt;(MEDIAN(Scoring!V:V)+_xlfn.STDEV.P(Scoring!V:V)),"YES","")</f>
        <v>YES</v>
      </c>
      <c r="X256" s="67">
        <f>IF($W256="YES",VLOOKUP($A256,'Editors Rescore'!$A$2:$M$63,13,FALSE),"")</f>
        <v>13</v>
      </c>
      <c r="Y256" s="81">
        <f t="shared" si="14"/>
        <v>12</v>
      </c>
    </row>
    <row r="257" spans="1:25" s="7" customFormat="1" ht="16" customHeight="1" x14ac:dyDescent="0.3">
      <c r="A257" s="122" t="s">
        <v>413</v>
      </c>
      <c r="B257" s="115" t="s">
        <v>703</v>
      </c>
      <c r="C257" s="115" t="s">
        <v>471</v>
      </c>
      <c r="D257" s="76" t="s">
        <v>25</v>
      </c>
      <c r="E257" s="4" t="s">
        <v>18</v>
      </c>
      <c r="F257" s="4">
        <v>31480816</v>
      </c>
      <c r="G257" s="76" t="s">
        <v>128</v>
      </c>
      <c r="H257" s="83" t="s">
        <v>607</v>
      </c>
      <c r="I257" s="76" t="s">
        <v>608</v>
      </c>
      <c r="J257" s="79"/>
      <c r="K257" s="79"/>
      <c r="L257" s="85">
        <v>3</v>
      </c>
      <c r="M257" s="76">
        <v>4</v>
      </c>
      <c r="N257" s="85">
        <v>0</v>
      </c>
      <c r="O257" s="76">
        <v>0</v>
      </c>
      <c r="P257" s="85">
        <v>5</v>
      </c>
      <c r="Q257" s="76">
        <v>5</v>
      </c>
      <c r="R257" s="85">
        <v>4</v>
      </c>
      <c r="S257" s="76">
        <v>3</v>
      </c>
      <c r="T257" s="92">
        <f t="shared" si="12"/>
        <v>12</v>
      </c>
      <c r="U257" s="95">
        <f t="shared" si="13"/>
        <v>12</v>
      </c>
      <c r="V257" s="67">
        <f t="shared" si="15"/>
        <v>0</v>
      </c>
      <c r="W257" s="67" t="str">
        <f>IF(V257&gt;(MEDIAN(Scoring!V:V)+_xlfn.STDEV.P(Scoring!V:V)),"YES","")</f>
        <v/>
      </c>
      <c r="X257" s="67" t="str">
        <f>IF($W257="YES",VLOOKUP($A257,'Editors Rescore'!$A$2:$M$63,13,FALSE),"")</f>
        <v/>
      </c>
      <c r="Y257" s="81">
        <f t="shared" si="14"/>
        <v>12</v>
      </c>
    </row>
    <row r="258" spans="1:25" s="7" customFormat="1" ht="32.15" customHeight="1" x14ac:dyDescent="0.3">
      <c r="A258" s="129" t="s">
        <v>47</v>
      </c>
      <c r="B258" s="128" t="s">
        <v>728</v>
      </c>
      <c r="C258" s="114" t="s">
        <v>41</v>
      </c>
      <c r="D258" s="103" t="s">
        <v>17</v>
      </c>
      <c r="E258" s="103" t="s">
        <v>19</v>
      </c>
      <c r="F258" s="103">
        <v>31127761</v>
      </c>
      <c r="G258" s="103" t="s">
        <v>616</v>
      </c>
      <c r="H258" s="105" t="s">
        <v>618</v>
      </c>
      <c r="I258" s="103" t="s">
        <v>617</v>
      </c>
      <c r="J258" s="107">
        <v>5</v>
      </c>
      <c r="K258" s="103">
        <v>5</v>
      </c>
      <c r="L258" s="105">
        <v>2</v>
      </c>
      <c r="M258" s="103">
        <v>3</v>
      </c>
      <c r="N258" s="106"/>
      <c r="O258" s="108"/>
      <c r="P258" s="105">
        <v>2</v>
      </c>
      <c r="Q258" s="103">
        <v>5</v>
      </c>
      <c r="R258" s="105">
        <v>2</v>
      </c>
      <c r="S258" s="103">
        <v>0</v>
      </c>
      <c r="T258" s="92">
        <f t="shared" si="12"/>
        <v>11</v>
      </c>
      <c r="U258" s="95">
        <f t="shared" si="13"/>
        <v>13</v>
      </c>
      <c r="V258" s="67">
        <f t="shared" si="15"/>
        <v>2</v>
      </c>
      <c r="W258" s="67" t="str">
        <f>IF(V258&gt;(MEDIAN(Scoring!V:V)+_xlfn.STDEV.P(Scoring!V:V)),"YES","")</f>
        <v/>
      </c>
      <c r="X258" s="67" t="str">
        <f>IF($W258="YES",VLOOKUP($A258,'Editors Rescore'!$A$2:$M$63,13,FALSE),"")</f>
        <v/>
      </c>
      <c r="Y258" s="81">
        <f t="shared" si="14"/>
        <v>12</v>
      </c>
    </row>
    <row r="259" spans="1:25" s="7" customFormat="1" ht="32.15" customHeight="1" x14ac:dyDescent="0.3">
      <c r="A259" s="122" t="s">
        <v>486</v>
      </c>
      <c r="B259" s="115" t="s">
        <v>808</v>
      </c>
      <c r="C259" s="115" t="s">
        <v>116</v>
      </c>
      <c r="D259" s="76" t="s">
        <v>17</v>
      </c>
      <c r="E259" s="4" t="s">
        <v>18</v>
      </c>
      <c r="F259" s="4">
        <v>31725849</v>
      </c>
      <c r="G259" s="4" t="s">
        <v>616</v>
      </c>
      <c r="H259" s="83" t="s">
        <v>617</v>
      </c>
      <c r="I259" s="4" t="s">
        <v>618</v>
      </c>
      <c r="J259" s="11"/>
      <c r="K259" s="11"/>
      <c r="L259" s="85">
        <v>4</v>
      </c>
      <c r="M259" s="4">
        <v>4</v>
      </c>
      <c r="N259" s="85">
        <v>4</v>
      </c>
      <c r="O259" s="4">
        <v>4</v>
      </c>
      <c r="P259" s="85">
        <v>3</v>
      </c>
      <c r="Q259" s="4">
        <v>5</v>
      </c>
      <c r="R259" s="85">
        <v>0</v>
      </c>
      <c r="S259" s="4">
        <v>0</v>
      </c>
      <c r="T259" s="92">
        <f t="shared" ref="T259:T322" si="16">J259+L259+N259+P259+R259</f>
        <v>11</v>
      </c>
      <c r="U259" s="95">
        <f t="shared" ref="U259:U322" si="17">K259+M259+O259+Q259+S259</f>
        <v>13</v>
      </c>
      <c r="V259" s="67">
        <f t="shared" si="15"/>
        <v>2</v>
      </c>
      <c r="W259" s="67" t="str">
        <f>IF(V259&gt;(MEDIAN(Scoring!V:V)+_xlfn.STDEV.P(Scoring!V:V)),"YES","")</f>
        <v/>
      </c>
      <c r="X259" s="67" t="str">
        <f>IF($W259="YES",VLOOKUP($A259,'Editors Rescore'!$A$2:$M$63,13,FALSE),"")</f>
        <v/>
      </c>
      <c r="Y259" s="81">
        <f t="shared" ref="Y259:Y322" si="18">IF(W259="YES",AVERAGE(T259,U259,X259),AVERAGE(T259,U259))</f>
        <v>12</v>
      </c>
    </row>
    <row r="260" spans="1:25" s="7" customFormat="1" ht="32.15" customHeight="1" x14ac:dyDescent="0.3">
      <c r="A260" s="122" t="s">
        <v>407</v>
      </c>
      <c r="B260" s="115" t="s">
        <v>839</v>
      </c>
      <c r="C260" s="115" t="s">
        <v>43</v>
      </c>
      <c r="D260" s="76" t="s">
        <v>17</v>
      </c>
      <c r="E260" s="4" t="s">
        <v>18</v>
      </c>
      <c r="F260" s="4">
        <v>31407093</v>
      </c>
      <c r="G260" s="76" t="s">
        <v>128</v>
      </c>
      <c r="H260" s="83" t="s">
        <v>608</v>
      </c>
      <c r="I260" s="76" t="s">
        <v>607</v>
      </c>
      <c r="J260" s="79"/>
      <c r="K260" s="79"/>
      <c r="L260" s="85">
        <f>2+1+1</f>
        <v>4</v>
      </c>
      <c r="M260" s="76">
        <v>4</v>
      </c>
      <c r="N260" s="85">
        <f>2+1+1</f>
        <v>4</v>
      </c>
      <c r="O260" s="76">
        <v>4</v>
      </c>
      <c r="P260" s="85">
        <f>2+1</f>
        <v>3</v>
      </c>
      <c r="Q260" s="76">
        <v>4</v>
      </c>
      <c r="R260" s="85">
        <v>0</v>
      </c>
      <c r="S260" s="76">
        <v>3</v>
      </c>
      <c r="T260" s="92">
        <f t="shared" si="16"/>
        <v>11</v>
      </c>
      <c r="U260" s="95">
        <f t="shared" si="17"/>
        <v>15</v>
      </c>
      <c r="V260" s="67">
        <f t="shared" ref="V260:V323" si="19">ABS(T260-U260)</f>
        <v>4</v>
      </c>
      <c r="W260" s="67" t="str">
        <f>IF(V260&gt;(MEDIAN(Scoring!V:V)+_xlfn.STDEV.P(Scoring!V:V)),"YES","")</f>
        <v>YES</v>
      </c>
      <c r="X260" s="67">
        <f>IF($W260="YES",VLOOKUP($A260,'Editors Rescore'!$A$2:$M$63,13,FALSE),"")</f>
        <v>10</v>
      </c>
      <c r="Y260" s="81">
        <f t="shared" si="18"/>
        <v>12</v>
      </c>
    </row>
    <row r="261" spans="1:25" s="7" customFormat="1" ht="32.15" customHeight="1" x14ac:dyDescent="0.3">
      <c r="A261" s="122" t="s">
        <v>891</v>
      </c>
      <c r="B261" s="115" t="s">
        <v>890</v>
      </c>
      <c r="C261" s="115" t="s">
        <v>579</v>
      </c>
      <c r="D261" s="76" t="s">
        <v>489</v>
      </c>
      <c r="E261" s="4" t="s">
        <v>580</v>
      </c>
      <c r="F261" s="4">
        <v>31585607</v>
      </c>
      <c r="G261" s="76" t="s">
        <v>611</v>
      </c>
      <c r="H261" s="83" t="s">
        <v>612</v>
      </c>
      <c r="I261" s="76" t="s">
        <v>613</v>
      </c>
      <c r="J261" s="83">
        <v>5</v>
      </c>
      <c r="K261" s="76">
        <v>5</v>
      </c>
      <c r="L261" s="83">
        <v>0</v>
      </c>
      <c r="M261" s="76">
        <v>0</v>
      </c>
      <c r="N261" s="79"/>
      <c r="O261" s="79"/>
      <c r="P261" s="83">
        <v>5</v>
      </c>
      <c r="Q261" s="76">
        <v>5</v>
      </c>
      <c r="R261" s="83">
        <v>2</v>
      </c>
      <c r="S261" s="76">
        <v>2</v>
      </c>
      <c r="T261" s="92">
        <f t="shared" si="16"/>
        <v>12</v>
      </c>
      <c r="U261" s="95">
        <f t="shared" si="17"/>
        <v>12</v>
      </c>
      <c r="V261" s="67">
        <f t="shared" si="19"/>
        <v>0</v>
      </c>
      <c r="W261" s="67" t="str">
        <f>IF(V261&gt;(MEDIAN(Scoring!V:V)+_xlfn.STDEV.P(Scoring!V:V)),"YES","")</f>
        <v/>
      </c>
      <c r="X261" s="67" t="str">
        <f>IF($W261="YES",VLOOKUP($A261,'Editors Rescore'!$A$2:$M$63,13,FALSE),"")</f>
        <v/>
      </c>
      <c r="Y261" s="81">
        <f t="shared" si="18"/>
        <v>12</v>
      </c>
    </row>
    <row r="262" spans="1:25" s="7" customFormat="1" ht="16" customHeight="1" x14ac:dyDescent="0.3">
      <c r="A262" s="122" t="s">
        <v>469</v>
      </c>
      <c r="B262" s="115" t="s">
        <v>910</v>
      </c>
      <c r="C262" s="115" t="s">
        <v>67</v>
      </c>
      <c r="D262" s="76" t="s">
        <v>29</v>
      </c>
      <c r="E262" s="4" t="s">
        <v>18</v>
      </c>
      <c r="F262" s="4">
        <v>31630694</v>
      </c>
      <c r="G262" s="4" t="s">
        <v>616</v>
      </c>
      <c r="H262" s="5" t="s">
        <v>604</v>
      </c>
      <c r="I262" s="4" t="s">
        <v>465</v>
      </c>
      <c r="J262" s="11"/>
      <c r="K262" s="11"/>
      <c r="L262" s="6">
        <v>3</v>
      </c>
      <c r="M262" s="4">
        <v>4</v>
      </c>
      <c r="N262" s="6">
        <v>3</v>
      </c>
      <c r="O262" s="4">
        <v>4</v>
      </c>
      <c r="P262" s="6">
        <v>5</v>
      </c>
      <c r="Q262" s="4">
        <v>1</v>
      </c>
      <c r="R262" s="6">
        <v>1</v>
      </c>
      <c r="S262" s="4">
        <v>3</v>
      </c>
      <c r="T262" s="92">
        <f t="shared" si="16"/>
        <v>12</v>
      </c>
      <c r="U262" s="95">
        <f t="shared" si="17"/>
        <v>12</v>
      </c>
      <c r="V262" s="67">
        <f t="shared" si="19"/>
        <v>0</v>
      </c>
      <c r="W262" s="67" t="str">
        <f>IF(V262&gt;(MEDIAN(Scoring!V:V)+_xlfn.STDEV.P(Scoring!V:V)),"YES","")</f>
        <v/>
      </c>
      <c r="X262" s="67" t="str">
        <f>IF($W262="YES",VLOOKUP($A262,'Editors Rescore'!$A$2:$M$63,13,FALSE),"")</f>
        <v/>
      </c>
      <c r="Y262" s="81">
        <f t="shared" si="18"/>
        <v>12</v>
      </c>
    </row>
    <row r="263" spans="1:25" s="7" customFormat="1" ht="16" customHeight="1" x14ac:dyDescent="0.3">
      <c r="A263" s="2" t="s">
        <v>191</v>
      </c>
      <c r="B263" s="121" t="s">
        <v>192</v>
      </c>
      <c r="C263" s="121" t="s">
        <v>166</v>
      </c>
      <c r="D263" s="82" t="s">
        <v>25</v>
      </c>
      <c r="E263" s="68" t="s">
        <v>18</v>
      </c>
      <c r="F263" s="69">
        <v>30945365</v>
      </c>
      <c r="G263" s="82" t="s">
        <v>611</v>
      </c>
      <c r="H263" s="98" t="s">
        <v>614</v>
      </c>
      <c r="I263" s="97" t="s">
        <v>615</v>
      </c>
      <c r="J263" s="99"/>
      <c r="K263" s="99"/>
      <c r="L263" s="149">
        <v>3</v>
      </c>
      <c r="M263" s="82">
        <v>3</v>
      </c>
      <c r="N263" s="149">
        <v>4</v>
      </c>
      <c r="O263" s="82">
        <v>4</v>
      </c>
      <c r="P263" s="149">
        <v>3</v>
      </c>
      <c r="Q263" s="82">
        <v>1</v>
      </c>
      <c r="R263" s="149">
        <v>3</v>
      </c>
      <c r="S263" s="97">
        <v>3</v>
      </c>
      <c r="T263" s="92">
        <f t="shared" si="16"/>
        <v>13</v>
      </c>
      <c r="U263" s="95">
        <f t="shared" si="17"/>
        <v>11</v>
      </c>
      <c r="V263" s="67">
        <f t="shared" si="19"/>
        <v>2</v>
      </c>
      <c r="W263" s="67" t="str">
        <f>IF(V263&gt;(MEDIAN(Scoring!V:V)+_xlfn.STDEV.P(Scoring!V:V)),"YES","")</f>
        <v/>
      </c>
      <c r="X263" s="67" t="str">
        <f>IF($W263="YES",VLOOKUP($A263,'Editors Rescore'!$A$2:$M$63,13,FALSE),"")</f>
        <v/>
      </c>
      <c r="Y263" s="81">
        <f t="shared" si="18"/>
        <v>12</v>
      </c>
    </row>
    <row r="264" spans="1:25" s="7" customFormat="1" ht="16" customHeight="1" x14ac:dyDescent="0.3">
      <c r="A264" s="123" t="s">
        <v>151</v>
      </c>
      <c r="B264" s="115" t="s">
        <v>69</v>
      </c>
      <c r="C264" s="115" t="s">
        <v>24</v>
      </c>
      <c r="D264" s="76" t="s">
        <v>17</v>
      </c>
      <c r="E264" s="4" t="s">
        <v>19</v>
      </c>
      <c r="F264" s="4">
        <v>30976496</v>
      </c>
      <c r="G264" s="76" t="s">
        <v>611</v>
      </c>
      <c r="H264" s="77" t="s">
        <v>612</v>
      </c>
      <c r="I264" s="76" t="s">
        <v>613</v>
      </c>
      <c r="J264" s="77">
        <v>5</v>
      </c>
      <c r="K264" s="76">
        <v>5</v>
      </c>
      <c r="L264" s="77">
        <v>0</v>
      </c>
      <c r="M264" s="76">
        <v>1</v>
      </c>
      <c r="N264" s="79"/>
      <c r="O264" s="79"/>
      <c r="P264" s="77">
        <v>5</v>
      </c>
      <c r="Q264" s="76">
        <v>5</v>
      </c>
      <c r="R264" s="77">
        <v>2</v>
      </c>
      <c r="S264" s="76">
        <v>1</v>
      </c>
      <c r="T264" s="92">
        <f t="shared" si="16"/>
        <v>12</v>
      </c>
      <c r="U264" s="95">
        <f t="shared" si="17"/>
        <v>12</v>
      </c>
      <c r="V264" s="67">
        <f t="shared" si="19"/>
        <v>0</v>
      </c>
      <c r="W264" s="67" t="str">
        <f>IF(V264&gt;(MEDIAN(Scoring!V:V)+_xlfn.STDEV.P(Scoring!V:V)),"YES","")</f>
        <v/>
      </c>
      <c r="X264" s="67" t="str">
        <f>IF($W264="YES",VLOOKUP($A264,'Editors Rescore'!$A$2:$M$63,13,FALSE),"")</f>
        <v/>
      </c>
      <c r="Y264" s="81">
        <f t="shared" si="18"/>
        <v>12</v>
      </c>
    </row>
    <row r="265" spans="1:25" s="7" customFormat="1" ht="48" customHeight="1" x14ac:dyDescent="0.3">
      <c r="A265" s="122" t="s">
        <v>943</v>
      </c>
      <c r="B265" s="112" t="s">
        <v>944</v>
      </c>
      <c r="C265" s="112"/>
      <c r="D265" s="4" t="s">
        <v>29</v>
      </c>
      <c r="E265" s="4" t="s">
        <v>19</v>
      </c>
      <c r="F265" s="4"/>
      <c r="G265" s="4" t="s">
        <v>624</v>
      </c>
      <c r="H265" s="83" t="s">
        <v>625</v>
      </c>
      <c r="I265" s="4" t="s">
        <v>366</v>
      </c>
      <c r="J265" s="6">
        <v>4</v>
      </c>
      <c r="K265" s="4">
        <v>4</v>
      </c>
      <c r="L265" s="85">
        <v>0</v>
      </c>
      <c r="M265" s="4">
        <v>0</v>
      </c>
      <c r="N265" s="79"/>
      <c r="O265" s="11"/>
      <c r="P265" s="85">
        <v>5</v>
      </c>
      <c r="Q265" s="4">
        <v>5</v>
      </c>
      <c r="R265" s="85">
        <v>3</v>
      </c>
      <c r="S265" s="4">
        <v>3</v>
      </c>
      <c r="T265" s="92">
        <f t="shared" si="16"/>
        <v>12</v>
      </c>
      <c r="U265" s="95">
        <f t="shared" si="17"/>
        <v>12</v>
      </c>
      <c r="V265" s="67">
        <f t="shared" si="19"/>
        <v>0</v>
      </c>
      <c r="W265" s="67" t="str">
        <f>IF(V265&gt;(MEDIAN(Scoring!V:V)+_xlfn.STDEV.P(Scoring!V:V)),"YES","")</f>
        <v/>
      </c>
      <c r="X265" s="67" t="str">
        <f>IF($W265="YES",VLOOKUP($A265,'Editors Rescore'!$A$2:$M$63,13,FALSE),"")</f>
        <v/>
      </c>
      <c r="Y265" s="81">
        <f t="shared" si="18"/>
        <v>12</v>
      </c>
    </row>
    <row r="266" spans="1:25" s="7" customFormat="1" ht="32.15" customHeight="1" x14ac:dyDescent="0.3">
      <c r="A266" s="123" t="s">
        <v>134</v>
      </c>
      <c r="B266" s="112" t="s">
        <v>665</v>
      </c>
      <c r="C266" s="114" t="s">
        <v>135</v>
      </c>
      <c r="D266" s="103" t="s">
        <v>17</v>
      </c>
      <c r="E266" s="103" t="s">
        <v>19</v>
      </c>
      <c r="F266" s="103">
        <v>31473827</v>
      </c>
      <c r="G266" s="103" t="s">
        <v>128</v>
      </c>
      <c r="H266" s="105" t="s">
        <v>608</v>
      </c>
      <c r="I266" s="103" t="s">
        <v>607</v>
      </c>
      <c r="J266" s="107">
        <v>5</v>
      </c>
      <c r="K266" s="103">
        <v>5</v>
      </c>
      <c r="L266" s="105">
        <v>0</v>
      </c>
      <c r="M266" s="103">
        <v>1</v>
      </c>
      <c r="N266" s="106"/>
      <c r="O266" s="108"/>
      <c r="P266" s="105">
        <v>5</v>
      </c>
      <c r="Q266" s="103">
        <v>5</v>
      </c>
      <c r="R266" s="105">
        <v>1</v>
      </c>
      <c r="S266" s="103">
        <v>5</v>
      </c>
      <c r="T266" s="92">
        <f t="shared" si="16"/>
        <v>11</v>
      </c>
      <c r="U266" s="95">
        <f t="shared" si="17"/>
        <v>16</v>
      </c>
      <c r="V266" s="67">
        <f t="shared" si="19"/>
        <v>5</v>
      </c>
      <c r="W266" s="67" t="str">
        <f>IF(V266&gt;(MEDIAN(Scoring!V:V)+_xlfn.STDEV.P(Scoring!V:V)),"YES","")</f>
        <v>YES</v>
      </c>
      <c r="X266" s="67">
        <f>IF($W266="YES",VLOOKUP($A266,'Editors Rescore'!$A$2:$M$63,13,FALSE),"")</f>
        <v>8</v>
      </c>
      <c r="Y266" s="81">
        <f t="shared" si="18"/>
        <v>11.666666666666666</v>
      </c>
    </row>
    <row r="267" spans="1:25" s="7" customFormat="1" ht="16" customHeight="1" x14ac:dyDescent="0.3">
      <c r="A267" s="114" t="s">
        <v>34</v>
      </c>
      <c r="B267" s="113" t="s">
        <v>35</v>
      </c>
      <c r="C267" s="113" t="s">
        <v>36</v>
      </c>
      <c r="D267" s="97" t="s">
        <v>17</v>
      </c>
      <c r="E267" s="93" t="s">
        <v>18</v>
      </c>
      <c r="F267" s="96">
        <v>31196597</v>
      </c>
      <c r="G267" s="93" t="s">
        <v>20</v>
      </c>
      <c r="H267" s="92" t="s">
        <v>606</v>
      </c>
      <c r="I267" s="93" t="s">
        <v>21</v>
      </c>
      <c r="J267" s="94"/>
      <c r="K267" s="94"/>
      <c r="L267" s="92">
        <v>3</v>
      </c>
      <c r="M267" s="93">
        <v>4</v>
      </c>
      <c r="N267" s="92">
        <v>3</v>
      </c>
      <c r="O267" s="93">
        <v>4</v>
      </c>
      <c r="P267" s="92">
        <v>1</v>
      </c>
      <c r="Q267" s="93">
        <v>3</v>
      </c>
      <c r="R267" s="92">
        <v>2</v>
      </c>
      <c r="S267" s="93">
        <v>2</v>
      </c>
      <c r="T267" s="92">
        <f t="shared" si="16"/>
        <v>9</v>
      </c>
      <c r="U267" s="95">
        <f t="shared" si="17"/>
        <v>13</v>
      </c>
      <c r="V267" s="67">
        <f t="shared" si="19"/>
        <v>4</v>
      </c>
      <c r="W267" s="67" t="str">
        <f>IF(V267&gt;(MEDIAN(Scoring!V:V)+_xlfn.STDEV.P(Scoring!V:V)),"YES","")</f>
        <v>YES</v>
      </c>
      <c r="X267" s="67">
        <f>IF($W267="YES",VLOOKUP($A267,'Editors Rescore'!$A$2:$M$63,13,FALSE),"")</f>
        <v>13</v>
      </c>
      <c r="Y267" s="81">
        <f t="shared" si="18"/>
        <v>11.666666666666666</v>
      </c>
    </row>
    <row r="268" spans="1:25" s="7" customFormat="1" ht="16" customHeight="1" x14ac:dyDescent="0.3">
      <c r="A268" s="127" t="s">
        <v>628</v>
      </c>
      <c r="B268" s="126" t="s">
        <v>627</v>
      </c>
      <c r="C268" s="113" t="s">
        <v>315</v>
      </c>
      <c r="D268" s="97" t="s">
        <v>17</v>
      </c>
      <c r="E268" s="93" t="s">
        <v>18</v>
      </c>
      <c r="F268" s="96">
        <v>31384443</v>
      </c>
      <c r="G268" s="97" t="s">
        <v>616</v>
      </c>
      <c r="H268" s="98" t="s">
        <v>604</v>
      </c>
      <c r="I268" s="97" t="s">
        <v>465</v>
      </c>
      <c r="J268" s="99"/>
      <c r="K268" s="99"/>
      <c r="L268" s="98">
        <v>3</v>
      </c>
      <c r="M268" s="97">
        <v>2</v>
      </c>
      <c r="N268" s="98">
        <v>4</v>
      </c>
      <c r="O268" s="97">
        <v>4</v>
      </c>
      <c r="P268" s="98">
        <v>3</v>
      </c>
      <c r="Q268" s="97">
        <v>5</v>
      </c>
      <c r="R268" s="98">
        <v>1</v>
      </c>
      <c r="S268" s="97">
        <v>1</v>
      </c>
      <c r="T268" s="92">
        <f t="shared" si="16"/>
        <v>11</v>
      </c>
      <c r="U268" s="95">
        <f t="shared" si="17"/>
        <v>12</v>
      </c>
      <c r="V268" s="67">
        <f t="shared" si="19"/>
        <v>1</v>
      </c>
      <c r="W268" s="67" t="str">
        <f>IF(V268&gt;(MEDIAN(Scoring!V:V)+_xlfn.STDEV.P(Scoring!V:V)),"YES","")</f>
        <v/>
      </c>
      <c r="X268" s="67" t="str">
        <f>IF($W268="YES",VLOOKUP($A268,'Editors Rescore'!$A$2:$M$63,13,FALSE),"")</f>
        <v/>
      </c>
      <c r="Y268" s="81">
        <f t="shared" si="18"/>
        <v>11.5</v>
      </c>
    </row>
    <row r="269" spans="1:25" s="7" customFormat="1" ht="16" customHeight="1" x14ac:dyDescent="0.3">
      <c r="A269" s="114" t="s">
        <v>46</v>
      </c>
      <c r="B269" s="128" t="s">
        <v>630</v>
      </c>
      <c r="C269" s="114" t="s">
        <v>33</v>
      </c>
      <c r="D269" s="93" t="s">
        <v>29</v>
      </c>
      <c r="E269" s="93" t="s">
        <v>18</v>
      </c>
      <c r="F269" s="96">
        <v>30591085</v>
      </c>
      <c r="G269" s="97" t="s">
        <v>20</v>
      </c>
      <c r="H269" s="98" t="s">
        <v>606</v>
      </c>
      <c r="I269" s="97" t="s">
        <v>21</v>
      </c>
      <c r="J269" s="99"/>
      <c r="K269" s="99"/>
      <c r="L269" s="98">
        <v>3</v>
      </c>
      <c r="M269" s="97">
        <v>4</v>
      </c>
      <c r="N269" s="98">
        <v>4</v>
      </c>
      <c r="O269" s="97">
        <v>4</v>
      </c>
      <c r="P269" s="98">
        <v>3</v>
      </c>
      <c r="Q269" s="97">
        <v>4</v>
      </c>
      <c r="R269" s="98">
        <v>0</v>
      </c>
      <c r="S269" s="97">
        <v>1</v>
      </c>
      <c r="T269" s="92">
        <f t="shared" si="16"/>
        <v>10</v>
      </c>
      <c r="U269" s="95">
        <f t="shared" si="17"/>
        <v>13</v>
      </c>
      <c r="V269" s="67">
        <f t="shared" si="19"/>
        <v>3</v>
      </c>
      <c r="W269" s="67" t="str">
        <f>IF(V269&gt;(MEDIAN(Scoring!V:V)+_xlfn.STDEV.P(Scoring!V:V)),"YES","")</f>
        <v/>
      </c>
      <c r="X269" s="67" t="str">
        <f>IF($W269="YES",VLOOKUP($A269,'Editors Rescore'!$A$2:$M$63,13,FALSE),"")</f>
        <v/>
      </c>
      <c r="Y269" s="81">
        <f t="shared" si="18"/>
        <v>11.5</v>
      </c>
    </row>
    <row r="270" spans="1:25" s="7" customFormat="1" ht="16" customHeight="1" x14ac:dyDescent="0.3">
      <c r="A270" s="122" t="s">
        <v>546</v>
      </c>
      <c r="B270" s="112" t="s">
        <v>631</v>
      </c>
      <c r="C270" s="112" t="s">
        <v>632</v>
      </c>
      <c r="D270" s="4" t="s">
        <v>29</v>
      </c>
      <c r="E270" s="4" t="s">
        <v>19</v>
      </c>
      <c r="F270" s="4"/>
      <c r="G270" s="4" t="s">
        <v>624</v>
      </c>
      <c r="H270" s="5" t="s">
        <v>366</v>
      </c>
      <c r="I270" s="4" t="s">
        <v>625</v>
      </c>
      <c r="J270" s="6">
        <v>4</v>
      </c>
      <c r="K270" s="4">
        <v>4</v>
      </c>
      <c r="L270" s="6">
        <v>0</v>
      </c>
      <c r="M270" s="4">
        <v>1</v>
      </c>
      <c r="N270" s="11"/>
      <c r="O270" s="11"/>
      <c r="P270" s="6">
        <v>5</v>
      </c>
      <c r="Q270" s="4">
        <v>3</v>
      </c>
      <c r="R270" s="6">
        <v>4</v>
      </c>
      <c r="S270" s="4">
        <v>2</v>
      </c>
      <c r="T270" s="92">
        <f t="shared" si="16"/>
        <v>13</v>
      </c>
      <c r="U270" s="95">
        <f t="shared" si="17"/>
        <v>10</v>
      </c>
      <c r="V270" s="67">
        <f t="shared" si="19"/>
        <v>3</v>
      </c>
      <c r="W270" s="67" t="str">
        <f>IF(V270&gt;(MEDIAN(Scoring!V:V)+_xlfn.STDEV.P(Scoring!V:V)),"YES","")</f>
        <v/>
      </c>
      <c r="X270" s="67" t="str">
        <f>IF($W270="YES",VLOOKUP($A270,'Editors Rescore'!$A$2:$M$63,13,FALSE),"")</f>
        <v/>
      </c>
      <c r="Y270" s="81">
        <f t="shared" si="18"/>
        <v>11.5</v>
      </c>
    </row>
    <row r="271" spans="1:25" s="7" customFormat="1" ht="16" customHeight="1" x14ac:dyDescent="0.3">
      <c r="A271" s="114" t="s">
        <v>243</v>
      </c>
      <c r="B271" s="114" t="s">
        <v>244</v>
      </c>
      <c r="C271" s="114" t="s">
        <v>316</v>
      </c>
      <c r="D271" s="93" t="s">
        <v>17</v>
      </c>
      <c r="E271" s="93" t="s">
        <v>18</v>
      </c>
      <c r="F271" s="96">
        <v>31334168</v>
      </c>
      <c r="G271" s="97" t="s">
        <v>616</v>
      </c>
      <c r="H271" s="98" t="s">
        <v>604</v>
      </c>
      <c r="I271" s="97" t="s">
        <v>465</v>
      </c>
      <c r="J271" s="99"/>
      <c r="K271" s="99"/>
      <c r="L271" s="98">
        <v>4</v>
      </c>
      <c r="M271" s="97">
        <v>3</v>
      </c>
      <c r="N271" s="98">
        <v>2</v>
      </c>
      <c r="O271" s="97">
        <v>2</v>
      </c>
      <c r="P271" s="98">
        <v>3</v>
      </c>
      <c r="Q271" s="97">
        <v>3</v>
      </c>
      <c r="R271" s="98">
        <v>3</v>
      </c>
      <c r="S271" s="97">
        <v>3</v>
      </c>
      <c r="T271" s="92">
        <f t="shared" si="16"/>
        <v>12</v>
      </c>
      <c r="U271" s="95">
        <f t="shared" si="17"/>
        <v>11</v>
      </c>
      <c r="V271" s="67">
        <f t="shared" si="19"/>
        <v>1</v>
      </c>
      <c r="W271" s="67" t="str">
        <f>IF(V271&gt;(MEDIAN(Scoring!V:V)+_xlfn.STDEV.P(Scoring!V:V)),"YES","")</f>
        <v/>
      </c>
      <c r="X271" s="67" t="str">
        <f>IF($W271="YES",VLOOKUP($A271,'Editors Rescore'!$A$2:$M$63,13,FALSE),"")</f>
        <v/>
      </c>
      <c r="Y271" s="81">
        <f t="shared" si="18"/>
        <v>11.5</v>
      </c>
    </row>
    <row r="272" spans="1:25" s="7" customFormat="1" ht="16" customHeight="1" x14ac:dyDescent="0.3">
      <c r="A272" s="122" t="s">
        <v>418</v>
      </c>
      <c r="B272" s="116" t="s">
        <v>644</v>
      </c>
      <c r="C272" s="112" t="s">
        <v>419</v>
      </c>
      <c r="D272" s="4" t="s">
        <v>17</v>
      </c>
      <c r="E272" s="4" t="s">
        <v>18</v>
      </c>
      <c r="F272" s="8">
        <v>31741306</v>
      </c>
      <c r="G272" s="4" t="s">
        <v>619</v>
      </c>
      <c r="H272" s="5" t="s">
        <v>623</v>
      </c>
      <c r="I272" s="4" t="s">
        <v>622</v>
      </c>
      <c r="J272" s="11"/>
      <c r="K272" s="11"/>
      <c r="L272" s="6">
        <v>3</v>
      </c>
      <c r="M272" s="4">
        <v>3</v>
      </c>
      <c r="N272" s="6">
        <v>4</v>
      </c>
      <c r="O272" s="4">
        <v>4</v>
      </c>
      <c r="P272" s="6">
        <v>2</v>
      </c>
      <c r="Q272" s="4">
        <v>3</v>
      </c>
      <c r="R272" s="6">
        <v>1</v>
      </c>
      <c r="S272" s="4">
        <v>3</v>
      </c>
      <c r="T272" s="92">
        <f t="shared" si="16"/>
        <v>10</v>
      </c>
      <c r="U272" s="95">
        <f t="shared" si="17"/>
        <v>13</v>
      </c>
      <c r="V272" s="67">
        <f t="shared" si="19"/>
        <v>3</v>
      </c>
      <c r="W272" s="67" t="str">
        <f>IF(V272&gt;(MEDIAN(Scoring!V:V)+_xlfn.STDEV.P(Scoring!V:V)),"YES","")</f>
        <v/>
      </c>
      <c r="X272" s="67" t="str">
        <f>IF($W272="YES",VLOOKUP($A272,'Editors Rescore'!$A$2:$M$63,13,FALSE),"")</f>
        <v/>
      </c>
      <c r="Y272" s="81">
        <f t="shared" si="18"/>
        <v>11.5</v>
      </c>
    </row>
    <row r="273" spans="1:25" s="7" customFormat="1" ht="16" customHeight="1" x14ac:dyDescent="0.3">
      <c r="A273" s="114" t="s">
        <v>246</v>
      </c>
      <c r="B273" s="128" t="s">
        <v>247</v>
      </c>
      <c r="C273" s="114" t="s">
        <v>143</v>
      </c>
      <c r="D273" s="93" t="s">
        <v>29</v>
      </c>
      <c r="E273" s="93" t="s">
        <v>18</v>
      </c>
      <c r="F273" s="96">
        <v>30857521</v>
      </c>
      <c r="G273" s="97" t="s">
        <v>616</v>
      </c>
      <c r="H273" s="98" t="s">
        <v>604</v>
      </c>
      <c r="I273" s="97" t="s">
        <v>465</v>
      </c>
      <c r="J273" s="99"/>
      <c r="K273" s="99"/>
      <c r="L273" s="98">
        <v>5</v>
      </c>
      <c r="M273" s="97">
        <v>4</v>
      </c>
      <c r="N273" s="98">
        <v>3</v>
      </c>
      <c r="O273" s="97">
        <v>3</v>
      </c>
      <c r="P273" s="98">
        <v>3</v>
      </c>
      <c r="Q273" s="97">
        <v>3</v>
      </c>
      <c r="R273" s="98">
        <v>1</v>
      </c>
      <c r="S273" s="97">
        <v>1</v>
      </c>
      <c r="T273" s="92">
        <f t="shared" si="16"/>
        <v>12</v>
      </c>
      <c r="U273" s="95">
        <f t="shared" si="17"/>
        <v>11</v>
      </c>
      <c r="V273" s="67">
        <f t="shared" si="19"/>
        <v>1</v>
      </c>
      <c r="W273" s="67" t="str">
        <f>IF(V273&gt;(MEDIAN(Scoring!V:V)+_xlfn.STDEV.P(Scoring!V:V)),"YES","")</f>
        <v/>
      </c>
      <c r="X273" s="67" t="str">
        <f>IF($W273="YES",VLOOKUP($A273,'Editors Rescore'!$A$2:$M$63,13,FALSE),"")</f>
        <v/>
      </c>
      <c r="Y273" s="81">
        <f t="shared" si="18"/>
        <v>11.5</v>
      </c>
    </row>
    <row r="274" spans="1:25" s="7" customFormat="1" ht="16" customHeight="1" x14ac:dyDescent="0.3">
      <c r="A274" s="122" t="s">
        <v>758</v>
      </c>
      <c r="B274" s="115" t="s">
        <v>759</v>
      </c>
      <c r="C274" s="115" t="s">
        <v>406</v>
      </c>
      <c r="D274" s="76" t="s">
        <v>29</v>
      </c>
      <c r="E274" s="4" t="s">
        <v>18</v>
      </c>
      <c r="F274" s="4">
        <v>31903321</v>
      </c>
      <c r="G274" s="4" t="s">
        <v>128</v>
      </c>
      <c r="H274" s="83" t="s">
        <v>608</v>
      </c>
      <c r="I274" s="4" t="s">
        <v>607</v>
      </c>
      <c r="J274" s="11"/>
      <c r="K274" s="11"/>
      <c r="L274" s="85">
        <v>3</v>
      </c>
      <c r="M274" s="4">
        <v>3</v>
      </c>
      <c r="N274" s="85">
        <v>4</v>
      </c>
      <c r="O274" s="4">
        <v>3</v>
      </c>
      <c r="P274" s="85">
        <v>3</v>
      </c>
      <c r="Q274" s="4">
        <v>3</v>
      </c>
      <c r="R274" s="85">
        <v>0</v>
      </c>
      <c r="S274" s="4">
        <v>4</v>
      </c>
      <c r="T274" s="92">
        <f t="shared" si="16"/>
        <v>10</v>
      </c>
      <c r="U274" s="95">
        <f t="shared" si="17"/>
        <v>13</v>
      </c>
      <c r="V274" s="67">
        <f t="shared" si="19"/>
        <v>3</v>
      </c>
      <c r="W274" s="67" t="str">
        <f>IF(V274&gt;(MEDIAN(Scoring!V:V)+_xlfn.STDEV.P(Scoring!V:V)),"YES","")</f>
        <v/>
      </c>
      <c r="X274" s="67" t="str">
        <f>IF($W274="YES",VLOOKUP($A274,'Editors Rescore'!$A$2:$M$63,13,FALSE),"")</f>
        <v/>
      </c>
      <c r="Y274" s="81">
        <f t="shared" si="18"/>
        <v>11.5</v>
      </c>
    </row>
    <row r="275" spans="1:25" s="7" customFormat="1" ht="16" customHeight="1" x14ac:dyDescent="0.3">
      <c r="A275" s="122" t="s">
        <v>399</v>
      </c>
      <c r="B275" s="115" t="s">
        <v>765</v>
      </c>
      <c r="C275" s="115" t="s">
        <v>26</v>
      </c>
      <c r="D275" s="76" t="s">
        <v>17</v>
      </c>
      <c r="E275" s="4" t="s">
        <v>18</v>
      </c>
      <c r="F275" s="8">
        <v>31752855</v>
      </c>
      <c r="G275" s="4" t="s">
        <v>128</v>
      </c>
      <c r="H275" s="5" t="s">
        <v>610</v>
      </c>
      <c r="I275" s="4" t="s">
        <v>609</v>
      </c>
      <c r="J275" s="11"/>
      <c r="K275" s="11"/>
      <c r="L275" s="6">
        <v>3</v>
      </c>
      <c r="M275" s="4">
        <v>3</v>
      </c>
      <c r="N275" s="6">
        <v>4</v>
      </c>
      <c r="O275" s="4">
        <v>4</v>
      </c>
      <c r="P275" s="6">
        <v>2</v>
      </c>
      <c r="Q275" s="4">
        <v>3</v>
      </c>
      <c r="R275" s="6">
        <v>1</v>
      </c>
      <c r="S275" s="4">
        <v>3</v>
      </c>
      <c r="T275" s="92">
        <f t="shared" si="16"/>
        <v>10</v>
      </c>
      <c r="U275" s="95">
        <f t="shared" si="17"/>
        <v>13</v>
      </c>
      <c r="V275" s="67">
        <f t="shared" si="19"/>
        <v>3</v>
      </c>
      <c r="W275" s="67" t="str">
        <f>IF(V275&gt;(MEDIAN(Scoring!V:V)+_xlfn.STDEV.P(Scoring!V:V)),"YES","")</f>
        <v/>
      </c>
      <c r="X275" s="67" t="str">
        <f>IF($W275="YES",VLOOKUP($A275,'Editors Rescore'!$A$2:$M$63,13,FALSE),"")</f>
        <v/>
      </c>
      <c r="Y275" s="81">
        <f t="shared" si="18"/>
        <v>11.5</v>
      </c>
    </row>
    <row r="276" spans="1:25" s="7" customFormat="1" ht="16" customHeight="1" x14ac:dyDescent="0.3">
      <c r="A276" s="114" t="s">
        <v>222</v>
      </c>
      <c r="B276" s="134" t="s">
        <v>223</v>
      </c>
      <c r="C276" s="113" t="s">
        <v>224</v>
      </c>
      <c r="D276" s="97" t="s">
        <v>17</v>
      </c>
      <c r="E276" s="93" t="s">
        <v>18</v>
      </c>
      <c r="F276" s="96">
        <v>30874303</v>
      </c>
      <c r="G276" s="93" t="s">
        <v>616</v>
      </c>
      <c r="H276" s="92" t="s">
        <v>618</v>
      </c>
      <c r="I276" s="93" t="s">
        <v>617</v>
      </c>
      <c r="J276" s="94"/>
      <c r="K276" s="94"/>
      <c r="L276" s="92">
        <v>3</v>
      </c>
      <c r="M276" s="93">
        <v>3</v>
      </c>
      <c r="N276" s="92">
        <v>3</v>
      </c>
      <c r="O276" s="93">
        <v>4</v>
      </c>
      <c r="P276" s="92">
        <v>2</v>
      </c>
      <c r="Q276" s="93">
        <v>3</v>
      </c>
      <c r="R276" s="92">
        <v>3</v>
      </c>
      <c r="S276" s="93">
        <v>2</v>
      </c>
      <c r="T276" s="92">
        <f t="shared" si="16"/>
        <v>11</v>
      </c>
      <c r="U276" s="95">
        <f t="shared" si="17"/>
        <v>12</v>
      </c>
      <c r="V276" s="67">
        <f t="shared" si="19"/>
        <v>1</v>
      </c>
      <c r="W276" s="67" t="str">
        <f>IF(V276&gt;(MEDIAN(Scoring!V:V)+_xlfn.STDEV.P(Scoring!V:V)),"YES","")</f>
        <v/>
      </c>
      <c r="X276" s="67" t="str">
        <f>IF($W276="YES",VLOOKUP($A276,'Editors Rescore'!$A$2:$M$63,13,FALSE),"")</f>
        <v/>
      </c>
      <c r="Y276" s="81">
        <f t="shared" si="18"/>
        <v>11.5</v>
      </c>
    </row>
    <row r="277" spans="1:25" s="7" customFormat="1" ht="32.15" customHeight="1" x14ac:dyDescent="0.3">
      <c r="A277" s="123" t="s">
        <v>76</v>
      </c>
      <c r="B277" s="133" t="s">
        <v>787</v>
      </c>
      <c r="C277" s="114" t="s">
        <v>67</v>
      </c>
      <c r="D277" s="103" t="s">
        <v>29</v>
      </c>
      <c r="E277" s="103" t="s">
        <v>19</v>
      </c>
      <c r="F277" s="103">
        <v>30968818</v>
      </c>
      <c r="G277" s="104" t="s">
        <v>616</v>
      </c>
      <c r="H277" s="105" t="s">
        <v>618</v>
      </c>
      <c r="I277" s="104" t="s">
        <v>617</v>
      </c>
      <c r="J277" s="105">
        <v>3</v>
      </c>
      <c r="K277" s="104">
        <v>5</v>
      </c>
      <c r="L277" s="105">
        <v>2</v>
      </c>
      <c r="M277" s="104">
        <v>2</v>
      </c>
      <c r="N277" s="106"/>
      <c r="O277" s="106"/>
      <c r="P277" s="105">
        <v>3</v>
      </c>
      <c r="Q277" s="104">
        <v>5</v>
      </c>
      <c r="R277" s="105">
        <v>2</v>
      </c>
      <c r="S277" s="104">
        <v>1</v>
      </c>
      <c r="T277" s="92">
        <f t="shared" si="16"/>
        <v>10</v>
      </c>
      <c r="U277" s="95">
        <f t="shared" si="17"/>
        <v>13</v>
      </c>
      <c r="V277" s="67">
        <f t="shared" si="19"/>
        <v>3</v>
      </c>
      <c r="W277" s="67" t="str">
        <f>IF(V277&gt;(MEDIAN(Scoring!V:V)+_xlfn.STDEV.P(Scoring!V:V)),"YES","")</f>
        <v/>
      </c>
      <c r="X277" s="67" t="str">
        <f>IF($W277="YES",VLOOKUP($A277,'Editors Rescore'!$A$2:$M$63,13,FALSE),"")</f>
        <v/>
      </c>
      <c r="Y277" s="81">
        <f t="shared" si="18"/>
        <v>11.5</v>
      </c>
    </row>
    <row r="278" spans="1:25" s="7" customFormat="1" ht="16" customHeight="1" x14ac:dyDescent="0.3">
      <c r="A278" s="122" t="s">
        <v>549</v>
      </c>
      <c r="B278" s="115" t="s">
        <v>550</v>
      </c>
      <c r="C278" s="115" t="s">
        <v>859</v>
      </c>
      <c r="D278" s="76" t="s">
        <v>17</v>
      </c>
      <c r="E278" s="4" t="s">
        <v>19</v>
      </c>
      <c r="F278" s="4">
        <v>31542178</v>
      </c>
      <c r="G278" s="4" t="s">
        <v>128</v>
      </c>
      <c r="H278" s="83" t="s">
        <v>609</v>
      </c>
      <c r="I278" s="4" t="s">
        <v>610</v>
      </c>
      <c r="J278" s="6">
        <v>5</v>
      </c>
      <c r="K278" s="4">
        <v>5</v>
      </c>
      <c r="L278" s="85">
        <v>0</v>
      </c>
      <c r="M278" s="4">
        <v>1</v>
      </c>
      <c r="N278" s="79"/>
      <c r="O278" s="11"/>
      <c r="P278" s="85">
        <v>5</v>
      </c>
      <c r="Q278" s="4">
        <v>5</v>
      </c>
      <c r="R278" s="85">
        <v>1</v>
      </c>
      <c r="S278" s="4">
        <v>1</v>
      </c>
      <c r="T278" s="92">
        <f t="shared" si="16"/>
        <v>11</v>
      </c>
      <c r="U278" s="95">
        <f t="shared" si="17"/>
        <v>12</v>
      </c>
      <c r="V278" s="67">
        <f t="shared" si="19"/>
        <v>1</v>
      </c>
      <c r="W278" s="67" t="str">
        <f>IF(V278&gt;(MEDIAN(Scoring!V:V)+_xlfn.STDEV.P(Scoring!V:V)),"YES","")</f>
        <v/>
      </c>
      <c r="X278" s="67" t="str">
        <f>IF($W278="YES",VLOOKUP($A278,'Editors Rescore'!$A$2:$M$63,13,FALSE),"")</f>
        <v/>
      </c>
      <c r="Y278" s="81">
        <f t="shared" si="18"/>
        <v>11.5</v>
      </c>
    </row>
    <row r="279" spans="1:25" s="7" customFormat="1" ht="16" customHeight="1" x14ac:dyDescent="0.3">
      <c r="A279" s="138" t="s">
        <v>869</v>
      </c>
      <c r="B279" s="114" t="s">
        <v>122</v>
      </c>
      <c r="C279" s="114" t="s">
        <v>123</v>
      </c>
      <c r="D279" s="93" t="s">
        <v>17</v>
      </c>
      <c r="E279" s="93" t="s">
        <v>18</v>
      </c>
      <c r="F279" s="96">
        <v>30998867</v>
      </c>
      <c r="G279" s="93" t="s">
        <v>619</v>
      </c>
      <c r="H279" s="92" t="s">
        <v>620</v>
      </c>
      <c r="I279" s="93" t="s">
        <v>621</v>
      </c>
      <c r="J279" s="94"/>
      <c r="K279" s="94"/>
      <c r="L279" s="92">
        <v>3</v>
      </c>
      <c r="M279" s="93">
        <v>4</v>
      </c>
      <c r="N279" s="92">
        <v>4</v>
      </c>
      <c r="O279" s="93">
        <v>4</v>
      </c>
      <c r="P279" s="92">
        <v>3</v>
      </c>
      <c r="Q279" s="93">
        <v>3</v>
      </c>
      <c r="R279" s="92">
        <v>1</v>
      </c>
      <c r="S279" s="93">
        <v>1</v>
      </c>
      <c r="T279" s="92">
        <f t="shared" si="16"/>
        <v>11</v>
      </c>
      <c r="U279" s="95">
        <f t="shared" si="17"/>
        <v>12</v>
      </c>
      <c r="V279" s="67">
        <f t="shared" si="19"/>
        <v>1</v>
      </c>
      <c r="W279" s="67" t="str">
        <f>IF(V279&gt;(MEDIAN(Scoring!V:V)+_xlfn.STDEV.P(Scoring!V:V)),"YES","")</f>
        <v/>
      </c>
      <c r="X279" s="67" t="str">
        <f>IF($W279="YES",VLOOKUP($A279,'Editors Rescore'!$A$2:$M$63,13,FALSE),"")</f>
        <v/>
      </c>
      <c r="Y279" s="81">
        <f t="shared" si="18"/>
        <v>11.5</v>
      </c>
    </row>
    <row r="280" spans="1:25" s="7" customFormat="1" ht="32.15" customHeight="1" x14ac:dyDescent="0.3">
      <c r="A280" s="143" t="s">
        <v>907</v>
      </c>
      <c r="B280" s="144" t="s">
        <v>908</v>
      </c>
      <c r="C280" s="144" t="s">
        <v>909</v>
      </c>
      <c r="D280" s="93" t="s">
        <v>17</v>
      </c>
      <c r="E280" s="93" t="s">
        <v>18</v>
      </c>
      <c r="F280" s="96">
        <v>30897283</v>
      </c>
      <c r="G280" s="93" t="s">
        <v>616</v>
      </c>
      <c r="H280" s="92" t="s">
        <v>618</v>
      </c>
      <c r="I280" s="93" t="s">
        <v>617</v>
      </c>
      <c r="J280" s="94"/>
      <c r="K280" s="94"/>
      <c r="L280" s="92">
        <v>4</v>
      </c>
      <c r="M280" s="93">
        <v>3</v>
      </c>
      <c r="N280" s="92">
        <v>4</v>
      </c>
      <c r="O280" s="93">
        <v>3</v>
      </c>
      <c r="P280" s="92">
        <v>2</v>
      </c>
      <c r="Q280" s="93">
        <v>3</v>
      </c>
      <c r="R280" s="92">
        <v>3</v>
      </c>
      <c r="S280" s="93">
        <v>1</v>
      </c>
      <c r="T280" s="92">
        <f t="shared" si="16"/>
        <v>13</v>
      </c>
      <c r="U280" s="95">
        <f t="shared" si="17"/>
        <v>10</v>
      </c>
      <c r="V280" s="67">
        <f t="shared" si="19"/>
        <v>3</v>
      </c>
      <c r="W280" s="67" t="str">
        <f>IF(V280&gt;(MEDIAN(Scoring!V:V)+_xlfn.STDEV.P(Scoring!V:V)),"YES","")</f>
        <v/>
      </c>
      <c r="X280" s="67" t="str">
        <f>IF($W280="YES",VLOOKUP($A280,'Editors Rescore'!$A$2:$M$63,13,FALSE),"")</f>
        <v/>
      </c>
      <c r="Y280" s="81">
        <f t="shared" si="18"/>
        <v>11.5</v>
      </c>
    </row>
    <row r="281" spans="1:25" s="7" customFormat="1" ht="32.15" customHeight="1" x14ac:dyDescent="0.3">
      <c r="A281" s="122" t="s">
        <v>943</v>
      </c>
      <c r="B281" s="112" t="s">
        <v>945</v>
      </c>
      <c r="C281" s="112"/>
      <c r="D281" s="4" t="s">
        <v>29</v>
      </c>
      <c r="E281" s="4" t="s">
        <v>19</v>
      </c>
      <c r="F281" s="4"/>
      <c r="G281" s="76" t="s">
        <v>624</v>
      </c>
      <c r="H281" s="83" t="s">
        <v>625</v>
      </c>
      <c r="I281" s="76" t="s">
        <v>366</v>
      </c>
      <c r="J281" s="85">
        <v>5</v>
      </c>
      <c r="K281" s="76">
        <v>3</v>
      </c>
      <c r="L281" s="85">
        <v>1</v>
      </c>
      <c r="M281" s="76">
        <v>1</v>
      </c>
      <c r="N281" s="79"/>
      <c r="O281" s="79"/>
      <c r="P281" s="85">
        <v>3</v>
      </c>
      <c r="Q281" s="76">
        <v>5</v>
      </c>
      <c r="R281" s="85">
        <v>2</v>
      </c>
      <c r="S281" s="76">
        <v>3</v>
      </c>
      <c r="T281" s="92">
        <f t="shared" si="16"/>
        <v>11</v>
      </c>
      <c r="U281" s="95">
        <f t="shared" si="17"/>
        <v>12</v>
      </c>
      <c r="V281" s="67">
        <f t="shared" si="19"/>
        <v>1</v>
      </c>
      <c r="W281" s="67" t="str">
        <f>IF(V281&gt;(MEDIAN(Scoring!V:V)+_xlfn.STDEV.P(Scoring!V:V)),"YES","")</f>
        <v/>
      </c>
      <c r="X281" s="67" t="str">
        <f>IF($W281="YES",VLOOKUP($A281,'Editors Rescore'!$A$2:$M$63,13,FALSE),"")</f>
        <v/>
      </c>
      <c r="Y281" s="81">
        <f t="shared" si="18"/>
        <v>11.5</v>
      </c>
    </row>
    <row r="282" spans="1:25" s="7" customFormat="1" ht="16" customHeight="1" x14ac:dyDescent="0.3">
      <c r="A282" s="122" t="s">
        <v>560</v>
      </c>
      <c r="B282" s="112" t="s">
        <v>561</v>
      </c>
      <c r="C282" s="112" t="s">
        <v>562</v>
      </c>
      <c r="D282" s="4" t="s">
        <v>17</v>
      </c>
      <c r="E282" s="4" t="s">
        <v>19</v>
      </c>
      <c r="F282" s="4">
        <v>31508159</v>
      </c>
      <c r="G282" s="76" t="s">
        <v>619</v>
      </c>
      <c r="H282" s="83" t="s">
        <v>621</v>
      </c>
      <c r="I282" s="76" t="s">
        <v>620</v>
      </c>
      <c r="J282" s="85">
        <v>3</v>
      </c>
      <c r="K282" s="76">
        <v>4</v>
      </c>
      <c r="L282" s="85">
        <v>0</v>
      </c>
      <c r="M282" s="76">
        <v>0</v>
      </c>
      <c r="N282" s="79"/>
      <c r="O282" s="79"/>
      <c r="P282" s="85">
        <v>5</v>
      </c>
      <c r="Q282" s="76">
        <v>5</v>
      </c>
      <c r="R282" s="85">
        <v>0</v>
      </c>
      <c r="S282" s="76">
        <v>4</v>
      </c>
      <c r="T282" s="92">
        <f t="shared" si="16"/>
        <v>8</v>
      </c>
      <c r="U282" s="95">
        <f t="shared" si="17"/>
        <v>13</v>
      </c>
      <c r="V282" s="67">
        <f t="shared" si="19"/>
        <v>5</v>
      </c>
      <c r="W282" s="67" t="str">
        <f>IF(V282&gt;(MEDIAN(Scoring!V:V)+_xlfn.STDEV.P(Scoring!V:V)),"YES","")</f>
        <v>YES</v>
      </c>
      <c r="X282" s="67">
        <f>IF($W282="YES",VLOOKUP($A282,'Editors Rescore'!$A$2:$M$63,13,FALSE),"")</f>
        <v>13</v>
      </c>
      <c r="Y282" s="81">
        <f t="shared" si="18"/>
        <v>11.333333333333334</v>
      </c>
    </row>
    <row r="283" spans="1:25" s="7" customFormat="1" ht="16" customHeight="1" x14ac:dyDescent="0.3">
      <c r="A283" s="122" t="s">
        <v>448</v>
      </c>
      <c r="B283" s="112" t="s">
        <v>629</v>
      </c>
      <c r="C283" s="112" t="s">
        <v>449</v>
      </c>
      <c r="D283" s="4" t="s">
        <v>17</v>
      </c>
      <c r="E283" s="4" t="s">
        <v>18</v>
      </c>
      <c r="F283" s="8">
        <v>31802841</v>
      </c>
      <c r="G283" s="76" t="s">
        <v>619</v>
      </c>
      <c r="H283" s="83" t="s">
        <v>620</v>
      </c>
      <c r="I283" s="76" t="s">
        <v>621</v>
      </c>
      <c r="J283" s="79"/>
      <c r="K283" s="79"/>
      <c r="L283" s="85">
        <v>4</v>
      </c>
      <c r="M283" s="76">
        <v>3</v>
      </c>
      <c r="N283" s="85">
        <v>4</v>
      </c>
      <c r="O283" s="76">
        <v>3</v>
      </c>
      <c r="P283" s="85">
        <v>3</v>
      </c>
      <c r="Q283" s="76">
        <v>4</v>
      </c>
      <c r="R283" s="85">
        <v>1</v>
      </c>
      <c r="S283" s="76">
        <v>0</v>
      </c>
      <c r="T283" s="92">
        <f t="shared" si="16"/>
        <v>12</v>
      </c>
      <c r="U283" s="95">
        <f t="shared" si="17"/>
        <v>10</v>
      </c>
      <c r="V283" s="67">
        <f t="shared" si="19"/>
        <v>2</v>
      </c>
      <c r="W283" s="67" t="str">
        <f>IF(V283&gt;(MEDIAN(Scoring!V:V)+_xlfn.STDEV.P(Scoring!V:V)),"YES","")</f>
        <v/>
      </c>
      <c r="X283" s="67" t="str">
        <f>IF($W283="YES",VLOOKUP($A283,'Editors Rescore'!$A$2:$M$63,13,FALSE),"")</f>
        <v/>
      </c>
      <c r="Y283" s="81">
        <f t="shared" si="18"/>
        <v>11</v>
      </c>
    </row>
    <row r="284" spans="1:25" s="7" customFormat="1" ht="32.15" customHeight="1" x14ac:dyDescent="0.3">
      <c r="A284" s="122" t="s">
        <v>66</v>
      </c>
      <c r="B284" s="112" t="s">
        <v>639</v>
      </c>
      <c r="C284" s="112" t="s">
        <v>67</v>
      </c>
      <c r="D284" s="4" t="s">
        <v>29</v>
      </c>
      <c r="E284" s="4" t="s">
        <v>19</v>
      </c>
      <c r="F284" s="4">
        <v>31057142</v>
      </c>
      <c r="G284" s="76" t="s">
        <v>611</v>
      </c>
      <c r="H284" s="77" t="s">
        <v>614</v>
      </c>
      <c r="I284" s="76" t="s">
        <v>615</v>
      </c>
      <c r="J284" s="77">
        <v>5</v>
      </c>
      <c r="K284" s="76">
        <v>5</v>
      </c>
      <c r="L284" s="77">
        <v>2</v>
      </c>
      <c r="M284" s="76">
        <v>2</v>
      </c>
      <c r="N284" s="79"/>
      <c r="O284" s="79"/>
      <c r="P284" s="77">
        <v>2</v>
      </c>
      <c r="Q284" s="76">
        <v>1</v>
      </c>
      <c r="R284" s="77">
        <v>2</v>
      </c>
      <c r="S284" s="76">
        <v>3</v>
      </c>
      <c r="T284" s="92">
        <f t="shared" si="16"/>
        <v>11</v>
      </c>
      <c r="U284" s="95">
        <f t="shared" si="17"/>
        <v>11</v>
      </c>
      <c r="V284" s="67">
        <f t="shared" si="19"/>
        <v>0</v>
      </c>
      <c r="W284" s="67" t="str">
        <f>IF(V284&gt;(MEDIAN(Scoring!V:V)+_xlfn.STDEV.P(Scoring!V:V)),"YES","")</f>
        <v/>
      </c>
      <c r="X284" s="67" t="str">
        <f>IF($W284="YES",VLOOKUP($A284,'Editors Rescore'!$A$2:$M$63,13,FALSE),"")</f>
        <v/>
      </c>
      <c r="Y284" s="81">
        <f t="shared" si="18"/>
        <v>11</v>
      </c>
    </row>
    <row r="285" spans="1:25" s="7" customFormat="1" ht="16" customHeight="1" x14ac:dyDescent="0.3">
      <c r="A285" s="114" t="s">
        <v>86</v>
      </c>
      <c r="B285" s="113" t="s">
        <v>87</v>
      </c>
      <c r="C285" s="113" t="s">
        <v>88</v>
      </c>
      <c r="D285" s="97" t="s">
        <v>29</v>
      </c>
      <c r="E285" s="93" t="s">
        <v>18</v>
      </c>
      <c r="F285" s="96">
        <v>31328050</v>
      </c>
      <c r="G285" s="93" t="s">
        <v>619</v>
      </c>
      <c r="H285" s="98" t="s">
        <v>621</v>
      </c>
      <c r="I285" s="93" t="s">
        <v>620</v>
      </c>
      <c r="J285" s="94"/>
      <c r="K285" s="94"/>
      <c r="L285" s="98">
        <v>3</v>
      </c>
      <c r="M285" s="93">
        <v>3</v>
      </c>
      <c r="N285" s="98">
        <v>4</v>
      </c>
      <c r="O285" s="93">
        <v>4</v>
      </c>
      <c r="P285" s="98">
        <v>3</v>
      </c>
      <c r="Q285" s="93">
        <v>3</v>
      </c>
      <c r="R285" s="98">
        <v>0</v>
      </c>
      <c r="S285" s="93">
        <v>2</v>
      </c>
      <c r="T285" s="92">
        <f t="shared" si="16"/>
        <v>10</v>
      </c>
      <c r="U285" s="95">
        <f t="shared" si="17"/>
        <v>12</v>
      </c>
      <c r="V285" s="67">
        <f t="shared" si="19"/>
        <v>2</v>
      </c>
      <c r="W285" s="67" t="str">
        <f>IF(V285&gt;(MEDIAN(Scoring!V:V)+_xlfn.STDEV.P(Scoring!V:V)),"YES","")</f>
        <v/>
      </c>
      <c r="X285" s="67" t="str">
        <f>IF($W285="YES",VLOOKUP($A285,'Editors Rescore'!$A$2:$M$63,13,FALSE),"")</f>
        <v/>
      </c>
      <c r="Y285" s="81">
        <f t="shared" si="18"/>
        <v>11</v>
      </c>
    </row>
    <row r="286" spans="1:25" s="7" customFormat="1" ht="48" customHeight="1" x14ac:dyDescent="0.3">
      <c r="A286" s="114" t="s">
        <v>250</v>
      </c>
      <c r="B286" s="130" t="s">
        <v>653</v>
      </c>
      <c r="C286" s="113" t="s">
        <v>251</v>
      </c>
      <c r="D286" s="97" t="s">
        <v>17</v>
      </c>
      <c r="E286" s="93" t="s">
        <v>18</v>
      </c>
      <c r="F286" s="96">
        <v>31448044</v>
      </c>
      <c r="G286" s="93" t="s">
        <v>128</v>
      </c>
      <c r="H286" s="92" t="s">
        <v>609</v>
      </c>
      <c r="I286" s="93" t="s">
        <v>610</v>
      </c>
      <c r="J286" s="94"/>
      <c r="K286" s="94"/>
      <c r="L286" s="92">
        <v>4</v>
      </c>
      <c r="M286" s="93">
        <v>3</v>
      </c>
      <c r="N286" s="92">
        <v>4</v>
      </c>
      <c r="O286" s="93">
        <v>4</v>
      </c>
      <c r="P286" s="92">
        <v>5</v>
      </c>
      <c r="Q286" s="93">
        <v>3</v>
      </c>
      <c r="R286" s="92">
        <v>3</v>
      </c>
      <c r="S286" s="93">
        <v>0</v>
      </c>
      <c r="T286" s="92">
        <f t="shared" si="16"/>
        <v>16</v>
      </c>
      <c r="U286" s="95">
        <f t="shared" si="17"/>
        <v>10</v>
      </c>
      <c r="V286" s="67">
        <f t="shared" si="19"/>
        <v>6</v>
      </c>
      <c r="W286" s="67" t="str">
        <f>IF(V286&gt;(MEDIAN(Scoring!V:V)+_xlfn.STDEV.P(Scoring!V:V)),"YES","")</f>
        <v>YES</v>
      </c>
      <c r="X286" s="67">
        <f>IF($W286="YES",VLOOKUP($A286,'Editors Rescore'!$A$2:$M$63,13,FALSE),"")</f>
        <v>7</v>
      </c>
      <c r="Y286" s="81">
        <f t="shared" si="18"/>
        <v>11</v>
      </c>
    </row>
    <row r="287" spans="1:25" s="7" customFormat="1" ht="16" customHeight="1" x14ac:dyDescent="0.3">
      <c r="A287" s="122" t="s">
        <v>468</v>
      </c>
      <c r="B287" s="112" t="s">
        <v>655</v>
      </c>
      <c r="C287" s="112" t="s">
        <v>138</v>
      </c>
      <c r="D287" s="4" t="s">
        <v>17</v>
      </c>
      <c r="E287" s="4" t="s">
        <v>18</v>
      </c>
      <c r="F287" s="4">
        <v>31803512</v>
      </c>
      <c r="G287" s="76" t="s">
        <v>616</v>
      </c>
      <c r="H287" s="83" t="s">
        <v>604</v>
      </c>
      <c r="I287" s="76" t="s">
        <v>465</v>
      </c>
      <c r="J287" s="79"/>
      <c r="K287" s="79"/>
      <c r="L287" s="85">
        <v>2</v>
      </c>
      <c r="M287" s="76">
        <v>2</v>
      </c>
      <c r="N287" s="85">
        <v>3</v>
      </c>
      <c r="O287" s="76">
        <v>4</v>
      </c>
      <c r="P287" s="85">
        <v>3</v>
      </c>
      <c r="Q287" s="76">
        <v>3</v>
      </c>
      <c r="R287" s="85">
        <v>2</v>
      </c>
      <c r="S287" s="76">
        <v>3</v>
      </c>
      <c r="T287" s="92">
        <f t="shared" si="16"/>
        <v>10</v>
      </c>
      <c r="U287" s="95">
        <f t="shared" si="17"/>
        <v>12</v>
      </c>
      <c r="V287" s="67">
        <f t="shared" si="19"/>
        <v>2</v>
      </c>
      <c r="W287" s="67" t="str">
        <f>IF(V287&gt;(MEDIAN(Scoring!V:V)+_xlfn.STDEV.P(Scoring!V:V)),"YES","")</f>
        <v/>
      </c>
      <c r="X287" s="67" t="str">
        <f>IF($W287="YES",VLOOKUP($A287,'Editors Rescore'!$A$2:$M$63,13,FALSE),"")</f>
        <v/>
      </c>
      <c r="Y287" s="81">
        <f t="shared" si="18"/>
        <v>11</v>
      </c>
    </row>
    <row r="288" spans="1:25" s="7" customFormat="1" ht="16" customHeight="1" x14ac:dyDescent="0.3">
      <c r="A288" s="122" t="s">
        <v>695</v>
      </c>
      <c r="B288" s="117" t="s">
        <v>376</v>
      </c>
      <c r="C288" s="117" t="s">
        <v>52</v>
      </c>
      <c r="D288" s="74" t="s">
        <v>29</v>
      </c>
      <c r="E288" s="4" t="s">
        <v>18</v>
      </c>
      <c r="F288" s="4">
        <v>31318948</v>
      </c>
      <c r="G288" s="76" t="s">
        <v>624</v>
      </c>
      <c r="H288" s="83" t="s">
        <v>625</v>
      </c>
      <c r="I288" s="76" t="s">
        <v>366</v>
      </c>
      <c r="J288" s="79"/>
      <c r="K288" s="79"/>
      <c r="L288" s="85">
        <v>4</v>
      </c>
      <c r="M288" s="76">
        <v>3</v>
      </c>
      <c r="N288" s="85">
        <v>4</v>
      </c>
      <c r="O288" s="76">
        <v>4</v>
      </c>
      <c r="P288" s="85">
        <v>2</v>
      </c>
      <c r="Q288" s="76">
        <v>3</v>
      </c>
      <c r="R288" s="85">
        <v>2</v>
      </c>
      <c r="S288" s="76">
        <v>0</v>
      </c>
      <c r="T288" s="92">
        <f t="shared" si="16"/>
        <v>12</v>
      </c>
      <c r="U288" s="95">
        <f t="shared" si="17"/>
        <v>10</v>
      </c>
      <c r="V288" s="67">
        <f t="shared" si="19"/>
        <v>2</v>
      </c>
      <c r="W288" s="67" t="str">
        <f>IF(V288&gt;(MEDIAN(Scoring!V:V)+_xlfn.STDEV.P(Scoring!V:V)),"YES","")</f>
        <v/>
      </c>
      <c r="X288" s="67" t="str">
        <f>IF($W288="YES",VLOOKUP($A288,'Editors Rescore'!$A$2:$M$63,13,FALSE),"")</f>
        <v/>
      </c>
      <c r="Y288" s="81">
        <f t="shared" si="18"/>
        <v>11</v>
      </c>
    </row>
    <row r="289" spans="1:25" s="7" customFormat="1" ht="16" customHeight="1" x14ac:dyDescent="0.3">
      <c r="A289" s="112" t="s">
        <v>303</v>
      </c>
      <c r="B289" s="134" t="s">
        <v>792</v>
      </c>
      <c r="C289" s="113" t="s">
        <v>215</v>
      </c>
      <c r="D289" s="97" t="s">
        <v>17</v>
      </c>
      <c r="E289" s="93" t="s">
        <v>18</v>
      </c>
      <c r="F289" s="96">
        <v>30873803</v>
      </c>
      <c r="G289" s="93" t="s">
        <v>611</v>
      </c>
      <c r="H289" s="92" t="s">
        <v>612</v>
      </c>
      <c r="I289" s="93" t="s">
        <v>613</v>
      </c>
      <c r="J289" s="94"/>
      <c r="K289" s="94"/>
      <c r="L289" s="92">
        <v>4</v>
      </c>
      <c r="M289" s="97">
        <f>1+1+1</f>
        <v>3</v>
      </c>
      <c r="N289" s="92">
        <v>4</v>
      </c>
      <c r="O289" s="97">
        <f>1+0+1</f>
        <v>2</v>
      </c>
      <c r="P289" s="92">
        <v>2</v>
      </c>
      <c r="Q289" s="97">
        <f>1+2+1</f>
        <v>4</v>
      </c>
      <c r="R289" s="92">
        <v>2</v>
      </c>
      <c r="S289" s="97">
        <f>0+0+0+1</f>
        <v>1</v>
      </c>
      <c r="T289" s="92">
        <f t="shared" si="16"/>
        <v>12</v>
      </c>
      <c r="U289" s="95">
        <f t="shared" si="17"/>
        <v>10</v>
      </c>
      <c r="V289" s="67">
        <f t="shared" si="19"/>
        <v>2</v>
      </c>
      <c r="W289" s="67" t="str">
        <f>IF(V289&gt;(MEDIAN(Scoring!V:V)+_xlfn.STDEV.P(Scoring!V:V)),"YES","")</f>
        <v/>
      </c>
      <c r="X289" s="67" t="str">
        <f>IF($W289="YES",VLOOKUP($A289,'Editors Rescore'!$A$2:$M$63,13,FALSE),"")</f>
        <v/>
      </c>
      <c r="Y289" s="81">
        <f t="shared" si="18"/>
        <v>11</v>
      </c>
    </row>
    <row r="290" spans="1:25" s="7" customFormat="1" ht="16" customHeight="1" x14ac:dyDescent="0.3">
      <c r="A290" s="114" t="s">
        <v>305</v>
      </c>
      <c r="B290" s="134" t="s">
        <v>795</v>
      </c>
      <c r="C290" s="113" t="s">
        <v>212</v>
      </c>
      <c r="D290" s="97" t="s">
        <v>17</v>
      </c>
      <c r="E290" s="93" t="s">
        <v>18</v>
      </c>
      <c r="F290" s="96">
        <v>30844525</v>
      </c>
      <c r="G290" s="93" t="s">
        <v>611</v>
      </c>
      <c r="H290" s="98" t="s">
        <v>612</v>
      </c>
      <c r="I290" s="93" t="s">
        <v>613</v>
      </c>
      <c r="J290" s="94"/>
      <c r="K290" s="94"/>
      <c r="L290" s="98">
        <v>4</v>
      </c>
      <c r="M290" s="93">
        <v>3</v>
      </c>
      <c r="N290" s="98">
        <v>4</v>
      </c>
      <c r="O290" s="93">
        <v>4</v>
      </c>
      <c r="P290" s="98">
        <v>3</v>
      </c>
      <c r="Q290" s="93">
        <v>3</v>
      </c>
      <c r="R290" s="98">
        <v>1</v>
      </c>
      <c r="S290" s="93">
        <v>0</v>
      </c>
      <c r="T290" s="92">
        <f t="shared" si="16"/>
        <v>12</v>
      </c>
      <c r="U290" s="95">
        <f t="shared" si="17"/>
        <v>10</v>
      </c>
      <c r="V290" s="67">
        <f t="shared" si="19"/>
        <v>2</v>
      </c>
      <c r="W290" s="67" t="str">
        <f>IF(V290&gt;(MEDIAN(Scoring!V:V)+_xlfn.STDEV.P(Scoring!V:V)),"YES","")</f>
        <v/>
      </c>
      <c r="X290" s="67" t="str">
        <f>IF($W290="YES",VLOOKUP($A290,'Editors Rescore'!$A$2:$M$63,13,FALSE),"")</f>
        <v/>
      </c>
      <c r="Y290" s="81">
        <f t="shared" si="18"/>
        <v>11</v>
      </c>
    </row>
    <row r="291" spans="1:25" s="7" customFormat="1" ht="32.15" customHeight="1" x14ac:dyDescent="0.3">
      <c r="A291" s="122" t="s">
        <v>515</v>
      </c>
      <c r="B291" s="115" t="s">
        <v>813</v>
      </c>
      <c r="C291" s="115" t="s">
        <v>14</v>
      </c>
      <c r="D291" s="76" t="s">
        <v>17</v>
      </c>
      <c r="E291" s="4" t="s">
        <v>18</v>
      </c>
      <c r="F291" s="4">
        <v>31601171</v>
      </c>
      <c r="G291" s="4" t="s">
        <v>611</v>
      </c>
      <c r="H291" s="9" t="s">
        <v>614</v>
      </c>
      <c r="I291" s="4" t="s">
        <v>615</v>
      </c>
      <c r="J291" s="11"/>
      <c r="K291" s="11"/>
      <c r="L291" s="9">
        <v>3</v>
      </c>
      <c r="M291" s="4">
        <v>2</v>
      </c>
      <c r="N291" s="9">
        <v>4</v>
      </c>
      <c r="O291" s="4">
        <v>4</v>
      </c>
      <c r="P291" s="9">
        <v>3</v>
      </c>
      <c r="Q291" s="4">
        <v>2</v>
      </c>
      <c r="R291" s="9">
        <v>2</v>
      </c>
      <c r="S291" s="4">
        <v>2</v>
      </c>
      <c r="T291" s="92">
        <f t="shared" si="16"/>
        <v>12</v>
      </c>
      <c r="U291" s="95">
        <f t="shared" si="17"/>
        <v>10</v>
      </c>
      <c r="V291" s="67">
        <f t="shared" si="19"/>
        <v>2</v>
      </c>
      <c r="W291" s="67" t="str">
        <f>IF(V291&gt;(MEDIAN(Scoring!V:V)+_xlfn.STDEV.P(Scoring!V:V)),"YES","")</f>
        <v/>
      </c>
      <c r="X291" s="67" t="str">
        <f>IF($W291="YES",VLOOKUP($A291,'Editors Rescore'!$A$2:$M$63,13,FALSE),"")</f>
        <v/>
      </c>
      <c r="Y291" s="81">
        <f t="shared" si="18"/>
        <v>11</v>
      </c>
    </row>
    <row r="292" spans="1:25" s="7" customFormat="1" ht="16" customHeight="1" x14ac:dyDescent="0.3">
      <c r="A292" s="114" t="s">
        <v>93</v>
      </c>
      <c r="B292" s="133" t="s">
        <v>827</v>
      </c>
      <c r="C292" s="114" t="s">
        <v>72</v>
      </c>
      <c r="D292" s="93" t="s">
        <v>25</v>
      </c>
      <c r="E292" s="93" t="s">
        <v>18</v>
      </c>
      <c r="F292" s="96">
        <v>31420392</v>
      </c>
      <c r="G292" s="93" t="s">
        <v>619</v>
      </c>
      <c r="H292" s="92" t="s">
        <v>621</v>
      </c>
      <c r="I292" s="93" t="s">
        <v>620</v>
      </c>
      <c r="J292" s="94"/>
      <c r="K292" s="94"/>
      <c r="L292" s="92">
        <v>4</v>
      </c>
      <c r="M292" s="93">
        <v>3</v>
      </c>
      <c r="N292" s="92">
        <v>1</v>
      </c>
      <c r="O292" s="93">
        <v>3</v>
      </c>
      <c r="P292" s="92">
        <v>3</v>
      </c>
      <c r="Q292" s="93">
        <v>3</v>
      </c>
      <c r="R292" s="92">
        <v>3</v>
      </c>
      <c r="S292" s="93">
        <v>2</v>
      </c>
      <c r="T292" s="92">
        <f t="shared" si="16"/>
        <v>11</v>
      </c>
      <c r="U292" s="95">
        <f t="shared" si="17"/>
        <v>11</v>
      </c>
      <c r="V292" s="67">
        <f t="shared" si="19"/>
        <v>0</v>
      </c>
      <c r="W292" s="67" t="str">
        <f>IF(V292&gt;(MEDIAN(Scoring!V:V)+_xlfn.STDEV.P(Scoring!V:V)),"YES","")</f>
        <v/>
      </c>
      <c r="X292" s="67" t="str">
        <f>IF($W292="YES",VLOOKUP($A292,'Editors Rescore'!$A$2:$M$63,13,FALSE),"")</f>
        <v/>
      </c>
      <c r="Y292" s="81">
        <f t="shared" si="18"/>
        <v>11</v>
      </c>
    </row>
    <row r="293" spans="1:25" s="7" customFormat="1" ht="16" customHeight="1" x14ac:dyDescent="0.3">
      <c r="A293" s="122" t="s">
        <v>455</v>
      </c>
      <c r="B293" s="112" t="s">
        <v>456</v>
      </c>
      <c r="C293" s="112" t="s">
        <v>457</v>
      </c>
      <c r="D293" s="4" t="s">
        <v>17</v>
      </c>
      <c r="E293" s="4" t="s">
        <v>18</v>
      </c>
      <c r="F293" s="8">
        <v>31502289</v>
      </c>
      <c r="G293" s="4" t="s">
        <v>619</v>
      </c>
      <c r="H293" s="5" t="s">
        <v>620</v>
      </c>
      <c r="I293" s="4" t="s">
        <v>621</v>
      </c>
      <c r="J293" s="11"/>
      <c r="K293" s="11"/>
      <c r="L293" s="6">
        <v>4</v>
      </c>
      <c r="M293" s="4">
        <v>3</v>
      </c>
      <c r="N293" s="6">
        <v>3</v>
      </c>
      <c r="O293" s="4">
        <v>4</v>
      </c>
      <c r="P293" s="6">
        <v>3</v>
      </c>
      <c r="Q293" s="4">
        <v>3</v>
      </c>
      <c r="R293" s="6">
        <v>2</v>
      </c>
      <c r="S293" s="4">
        <v>0</v>
      </c>
      <c r="T293" s="92">
        <f t="shared" si="16"/>
        <v>12</v>
      </c>
      <c r="U293" s="95">
        <f t="shared" si="17"/>
        <v>10</v>
      </c>
      <c r="V293" s="67">
        <f t="shared" si="19"/>
        <v>2</v>
      </c>
      <c r="W293" s="67" t="str">
        <f>IF(V293&gt;(MEDIAN(Scoring!V:V)+_xlfn.STDEV.P(Scoring!V:V)),"YES","")</f>
        <v/>
      </c>
      <c r="X293" s="67" t="str">
        <f>IF($W293="YES",VLOOKUP($A293,'Editors Rescore'!$A$2:$M$63,13,FALSE),"")</f>
        <v/>
      </c>
      <c r="Y293" s="81">
        <f t="shared" si="18"/>
        <v>11</v>
      </c>
    </row>
    <row r="294" spans="1:25" s="7" customFormat="1" ht="32.15" customHeight="1" x14ac:dyDescent="0.3">
      <c r="A294" s="114" t="s">
        <v>308</v>
      </c>
      <c r="B294" s="113" t="s">
        <v>217</v>
      </c>
      <c r="C294" s="113" t="s">
        <v>24</v>
      </c>
      <c r="D294" s="97" t="s">
        <v>17</v>
      </c>
      <c r="E294" s="93" t="s">
        <v>18</v>
      </c>
      <c r="F294" s="96">
        <v>31528530</v>
      </c>
      <c r="G294" s="93" t="s">
        <v>611</v>
      </c>
      <c r="H294" s="92" t="s">
        <v>612</v>
      </c>
      <c r="I294" s="93" t="s">
        <v>613</v>
      </c>
      <c r="J294" s="94"/>
      <c r="K294" s="94"/>
      <c r="L294" s="92">
        <v>4</v>
      </c>
      <c r="M294" s="93">
        <v>3</v>
      </c>
      <c r="N294" s="92">
        <v>4</v>
      </c>
      <c r="O294" s="93">
        <v>1</v>
      </c>
      <c r="P294" s="92">
        <v>3</v>
      </c>
      <c r="Q294" s="93">
        <v>4</v>
      </c>
      <c r="R294" s="92">
        <v>1</v>
      </c>
      <c r="S294" s="93">
        <v>2</v>
      </c>
      <c r="T294" s="92">
        <f t="shared" si="16"/>
        <v>12</v>
      </c>
      <c r="U294" s="95">
        <f t="shared" si="17"/>
        <v>10</v>
      </c>
      <c r="V294" s="67">
        <f t="shared" si="19"/>
        <v>2</v>
      </c>
      <c r="W294" s="67" t="str">
        <f>IF(V294&gt;(MEDIAN(Scoring!V:V)+_xlfn.STDEV.P(Scoring!V:V)),"YES","")</f>
        <v/>
      </c>
      <c r="X294" s="67" t="str">
        <f>IF($W294="YES",VLOOKUP($A294,'Editors Rescore'!$A$2:$M$63,13,FALSE),"")</f>
        <v/>
      </c>
      <c r="Y294" s="81">
        <f t="shared" si="18"/>
        <v>11</v>
      </c>
    </row>
    <row r="295" spans="1:25" s="7" customFormat="1" ht="16" customHeight="1" x14ac:dyDescent="0.3">
      <c r="A295" s="122" t="s">
        <v>57</v>
      </c>
      <c r="B295" s="112" t="s">
        <v>780</v>
      </c>
      <c r="C295" s="112" t="s">
        <v>361</v>
      </c>
      <c r="D295" s="4" t="s">
        <v>25</v>
      </c>
      <c r="E295" s="4" t="s">
        <v>19</v>
      </c>
      <c r="F295" s="4">
        <v>31483775</v>
      </c>
      <c r="G295" s="4" t="s">
        <v>611</v>
      </c>
      <c r="H295" s="9" t="s">
        <v>615</v>
      </c>
      <c r="I295" s="4" t="s">
        <v>614</v>
      </c>
      <c r="J295" s="9">
        <v>4</v>
      </c>
      <c r="K295" s="4">
        <v>4</v>
      </c>
      <c r="L295" s="9">
        <v>2</v>
      </c>
      <c r="M295" s="4">
        <v>1</v>
      </c>
      <c r="N295" s="11"/>
      <c r="O295" s="11"/>
      <c r="P295" s="9">
        <v>5</v>
      </c>
      <c r="Q295" s="4">
        <v>3</v>
      </c>
      <c r="R295" s="9">
        <v>3</v>
      </c>
      <c r="S295" s="4">
        <v>2</v>
      </c>
      <c r="T295" s="92">
        <f t="shared" si="16"/>
        <v>14</v>
      </c>
      <c r="U295" s="95">
        <f t="shared" si="17"/>
        <v>10</v>
      </c>
      <c r="V295" s="67">
        <f t="shared" si="19"/>
        <v>4</v>
      </c>
      <c r="W295" s="67" t="str">
        <f>IF(V295&gt;(MEDIAN(Scoring!V:V)+_xlfn.STDEV.P(Scoring!V:V)),"YES","")</f>
        <v>YES</v>
      </c>
      <c r="X295" s="67">
        <f>IF($W295="YES",VLOOKUP($A295,'Editors Rescore'!$A$2:$M$63,13,FALSE),"")</f>
        <v>8</v>
      </c>
      <c r="Y295" s="81">
        <f t="shared" si="18"/>
        <v>10.666666666666666</v>
      </c>
    </row>
    <row r="296" spans="1:25" s="7" customFormat="1" ht="16" customHeight="1" x14ac:dyDescent="0.3">
      <c r="A296" s="114" t="s">
        <v>148</v>
      </c>
      <c r="B296" s="113" t="s">
        <v>149</v>
      </c>
      <c r="C296" s="113" t="s">
        <v>150</v>
      </c>
      <c r="D296" s="97" t="s">
        <v>29</v>
      </c>
      <c r="E296" s="93" t="s">
        <v>18</v>
      </c>
      <c r="F296" s="96">
        <v>30328230</v>
      </c>
      <c r="G296" s="93" t="s">
        <v>619</v>
      </c>
      <c r="H296" s="98" t="s">
        <v>622</v>
      </c>
      <c r="I296" s="93" t="s">
        <v>623</v>
      </c>
      <c r="J296" s="94"/>
      <c r="K296" s="94"/>
      <c r="L296" s="98">
        <v>3</v>
      </c>
      <c r="M296" s="93">
        <v>3</v>
      </c>
      <c r="N296" s="98">
        <v>4</v>
      </c>
      <c r="O296" s="93">
        <v>3</v>
      </c>
      <c r="P296" s="98">
        <v>3</v>
      </c>
      <c r="Q296" s="93">
        <v>1</v>
      </c>
      <c r="R296" s="98">
        <v>4</v>
      </c>
      <c r="S296" s="93">
        <v>1</v>
      </c>
      <c r="T296" s="92">
        <f t="shared" si="16"/>
        <v>14</v>
      </c>
      <c r="U296" s="95">
        <f t="shared" si="17"/>
        <v>8</v>
      </c>
      <c r="V296" s="67">
        <f t="shared" si="19"/>
        <v>6</v>
      </c>
      <c r="W296" s="67" t="str">
        <f>IF(V296&gt;(MEDIAN(Scoring!V:V)+_xlfn.STDEV.P(Scoring!V:V)),"YES","")</f>
        <v>YES</v>
      </c>
      <c r="X296" s="67">
        <f>IF($W296="YES",VLOOKUP($A296,'Editors Rescore'!$A$2:$M$63,13,FALSE),"")</f>
        <v>10</v>
      </c>
      <c r="Y296" s="81">
        <f t="shared" si="18"/>
        <v>10.666666666666666</v>
      </c>
    </row>
    <row r="297" spans="1:25" s="7" customFormat="1" ht="32.15" customHeight="1" x14ac:dyDescent="0.3">
      <c r="A297" s="114" t="s">
        <v>239</v>
      </c>
      <c r="B297" s="114" t="s">
        <v>355</v>
      </c>
      <c r="C297" s="114" t="s">
        <v>312</v>
      </c>
      <c r="D297" s="93" t="s">
        <v>17</v>
      </c>
      <c r="E297" s="93" t="s">
        <v>18</v>
      </c>
      <c r="F297" s="96">
        <v>31528149</v>
      </c>
      <c r="G297" s="93" t="s">
        <v>616</v>
      </c>
      <c r="H297" s="92" t="s">
        <v>465</v>
      </c>
      <c r="I297" s="93" t="s">
        <v>604</v>
      </c>
      <c r="J297" s="94"/>
      <c r="K297" s="94"/>
      <c r="L297" s="92">
        <v>4</v>
      </c>
      <c r="M297" s="93">
        <v>3</v>
      </c>
      <c r="N297" s="92">
        <v>2</v>
      </c>
      <c r="O297" s="93">
        <v>2</v>
      </c>
      <c r="P297" s="92">
        <v>3</v>
      </c>
      <c r="Q297" s="93">
        <v>5</v>
      </c>
      <c r="R297" s="92">
        <v>0</v>
      </c>
      <c r="S297" s="93">
        <v>2</v>
      </c>
      <c r="T297" s="92">
        <f t="shared" si="16"/>
        <v>9</v>
      </c>
      <c r="U297" s="95">
        <f t="shared" si="17"/>
        <v>12</v>
      </c>
      <c r="V297" s="67">
        <f t="shared" si="19"/>
        <v>3</v>
      </c>
      <c r="W297" s="67" t="str">
        <f>IF(V297&gt;(MEDIAN(Scoring!V:V)+_xlfn.STDEV.P(Scoring!V:V)),"YES","")</f>
        <v/>
      </c>
      <c r="X297" s="67" t="str">
        <f>IF($W297="YES",VLOOKUP($A297,'Editors Rescore'!$A$2:$M$63,13,FALSE),"")</f>
        <v/>
      </c>
      <c r="Y297" s="81">
        <f t="shared" si="18"/>
        <v>10.5</v>
      </c>
    </row>
    <row r="298" spans="1:25" s="7" customFormat="1" ht="32.15" customHeight="1" x14ac:dyDescent="0.3">
      <c r="A298" s="122" t="s">
        <v>672</v>
      </c>
      <c r="B298" s="115" t="s">
        <v>673</v>
      </c>
      <c r="C298" s="115" t="s">
        <v>77</v>
      </c>
      <c r="D298" s="76" t="s">
        <v>25</v>
      </c>
      <c r="E298" s="4" t="s">
        <v>18</v>
      </c>
      <c r="F298" s="4">
        <v>31913833</v>
      </c>
      <c r="G298" s="76" t="s">
        <v>20</v>
      </c>
      <c r="H298" s="83" t="s">
        <v>21</v>
      </c>
      <c r="I298" s="76" t="s">
        <v>606</v>
      </c>
      <c r="J298" s="79"/>
      <c r="K298" s="79"/>
      <c r="L298" s="85">
        <v>3</v>
      </c>
      <c r="M298" s="76">
        <v>4</v>
      </c>
      <c r="N298" s="85">
        <v>2</v>
      </c>
      <c r="O298" s="76">
        <v>1</v>
      </c>
      <c r="P298" s="85">
        <v>4</v>
      </c>
      <c r="Q298" s="76">
        <v>1</v>
      </c>
      <c r="R298" s="85">
        <v>1</v>
      </c>
      <c r="S298" s="76">
        <v>5</v>
      </c>
      <c r="T298" s="92">
        <f t="shared" si="16"/>
        <v>10</v>
      </c>
      <c r="U298" s="95">
        <f t="shared" si="17"/>
        <v>11</v>
      </c>
      <c r="V298" s="67">
        <f t="shared" si="19"/>
        <v>1</v>
      </c>
      <c r="W298" s="67" t="str">
        <f>IF(V298&gt;(MEDIAN(Scoring!V:V)+_xlfn.STDEV.P(Scoring!V:V)),"YES","")</f>
        <v/>
      </c>
      <c r="X298" s="67" t="str">
        <f>IF($W298="YES",VLOOKUP($A298,'Editors Rescore'!$A$2:$M$63,13,FALSE),"")</f>
        <v/>
      </c>
      <c r="Y298" s="81">
        <f t="shared" si="18"/>
        <v>10.5</v>
      </c>
    </row>
    <row r="299" spans="1:25" s="7" customFormat="1" ht="16" customHeight="1" x14ac:dyDescent="0.3">
      <c r="A299" s="122" t="s">
        <v>677</v>
      </c>
      <c r="B299" s="112" t="s">
        <v>679</v>
      </c>
      <c r="C299" s="112" t="s">
        <v>678</v>
      </c>
      <c r="D299" s="4" t="s">
        <v>29</v>
      </c>
      <c r="E299" s="4" t="s">
        <v>18</v>
      </c>
      <c r="F299" s="4">
        <v>31622150</v>
      </c>
      <c r="G299" s="4" t="s">
        <v>20</v>
      </c>
      <c r="H299" s="5" t="s">
        <v>21</v>
      </c>
      <c r="I299" s="4" t="s">
        <v>606</v>
      </c>
      <c r="J299" s="11"/>
      <c r="K299" s="11"/>
      <c r="L299" s="6">
        <v>2</v>
      </c>
      <c r="M299" s="4">
        <v>3</v>
      </c>
      <c r="N299" s="6">
        <v>3</v>
      </c>
      <c r="O299" s="4">
        <v>3</v>
      </c>
      <c r="P299" s="6">
        <v>4</v>
      </c>
      <c r="Q299" s="4">
        <v>1</v>
      </c>
      <c r="R299" s="6">
        <v>1</v>
      </c>
      <c r="S299" s="4">
        <v>4</v>
      </c>
      <c r="T299" s="92">
        <f t="shared" si="16"/>
        <v>10</v>
      </c>
      <c r="U299" s="95">
        <f t="shared" si="17"/>
        <v>11</v>
      </c>
      <c r="V299" s="67">
        <f t="shared" si="19"/>
        <v>1</v>
      </c>
      <c r="W299" s="67" t="str">
        <f>IF(V299&gt;(MEDIAN(Scoring!V:V)+_xlfn.STDEV.P(Scoring!V:V)),"YES","")</f>
        <v/>
      </c>
      <c r="X299" s="67" t="str">
        <f>IF($W299="YES",VLOOKUP($A299,'Editors Rescore'!$A$2:$M$63,13,FALSE),"")</f>
        <v/>
      </c>
      <c r="Y299" s="81">
        <f t="shared" si="18"/>
        <v>10.5</v>
      </c>
    </row>
    <row r="300" spans="1:25" s="7" customFormat="1" ht="32.15" customHeight="1" x14ac:dyDescent="0.3">
      <c r="A300" s="122" t="s">
        <v>755</v>
      </c>
      <c r="B300" s="115" t="s">
        <v>547</v>
      </c>
      <c r="C300" s="115" t="s">
        <v>756</v>
      </c>
      <c r="D300" s="76" t="s">
        <v>29</v>
      </c>
      <c r="E300" s="4" t="s">
        <v>19</v>
      </c>
      <c r="F300" s="4"/>
      <c r="G300" s="76" t="s">
        <v>624</v>
      </c>
      <c r="H300" s="83" t="s">
        <v>625</v>
      </c>
      <c r="I300" s="76" t="s">
        <v>366</v>
      </c>
      <c r="J300" s="85">
        <v>5</v>
      </c>
      <c r="K300" s="76">
        <v>5</v>
      </c>
      <c r="L300" s="85">
        <v>0</v>
      </c>
      <c r="M300" s="76">
        <v>0</v>
      </c>
      <c r="N300" s="79"/>
      <c r="O300" s="79"/>
      <c r="P300" s="85">
        <v>4</v>
      </c>
      <c r="Q300" s="76">
        <v>4</v>
      </c>
      <c r="R300" s="85">
        <v>2</v>
      </c>
      <c r="S300" s="76">
        <v>1</v>
      </c>
      <c r="T300" s="92">
        <f t="shared" si="16"/>
        <v>11</v>
      </c>
      <c r="U300" s="95">
        <f t="shared" si="17"/>
        <v>10</v>
      </c>
      <c r="V300" s="67">
        <f t="shared" si="19"/>
        <v>1</v>
      </c>
      <c r="W300" s="67" t="str">
        <f>IF(V300&gt;(MEDIAN(Scoring!V:V)+_xlfn.STDEV.P(Scoring!V:V)),"YES","")</f>
        <v/>
      </c>
      <c r="X300" s="67" t="str">
        <f>IF($W300="YES",VLOOKUP($A300,'Editors Rescore'!$A$2:$M$63,13,FALSE),"")</f>
        <v/>
      </c>
      <c r="Y300" s="81">
        <f t="shared" si="18"/>
        <v>10.5</v>
      </c>
    </row>
    <row r="301" spans="1:25" s="7" customFormat="1" ht="32.15" customHeight="1" x14ac:dyDescent="0.3">
      <c r="A301" s="114" t="s">
        <v>288</v>
      </c>
      <c r="B301" s="134" t="s">
        <v>803</v>
      </c>
      <c r="C301" s="113" t="s">
        <v>212</v>
      </c>
      <c r="D301" s="97" t="s">
        <v>17</v>
      </c>
      <c r="E301" s="93" t="s">
        <v>18</v>
      </c>
      <c r="F301" s="96">
        <v>30878740</v>
      </c>
      <c r="G301" s="93" t="s">
        <v>128</v>
      </c>
      <c r="H301" s="92" t="s">
        <v>607</v>
      </c>
      <c r="I301" s="93" t="s">
        <v>608</v>
      </c>
      <c r="J301" s="94"/>
      <c r="K301" s="94"/>
      <c r="L301" s="92">
        <v>4</v>
      </c>
      <c r="M301" s="93">
        <v>4</v>
      </c>
      <c r="N301" s="92">
        <v>1</v>
      </c>
      <c r="O301" s="93">
        <v>1</v>
      </c>
      <c r="P301" s="92">
        <v>5</v>
      </c>
      <c r="Q301" s="93">
        <v>3</v>
      </c>
      <c r="R301" s="92">
        <v>2</v>
      </c>
      <c r="S301" s="93">
        <v>1</v>
      </c>
      <c r="T301" s="92">
        <f t="shared" si="16"/>
        <v>12</v>
      </c>
      <c r="U301" s="95">
        <f t="shared" si="17"/>
        <v>9</v>
      </c>
      <c r="V301" s="67">
        <f t="shared" si="19"/>
        <v>3</v>
      </c>
      <c r="W301" s="67" t="str">
        <f>IF(V301&gt;(MEDIAN(Scoring!V:V)+_xlfn.STDEV.P(Scoring!V:V)),"YES","")</f>
        <v/>
      </c>
      <c r="X301" s="67" t="str">
        <f>IF($W301="YES",VLOOKUP($A301,'Editors Rescore'!$A$2:$M$63,13,FALSE),"")</f>
        <v/>
      </c>
      <c r="Y301" s="81">
        <f t="shared" si="18"/>
        <v>10.5</v>
      </c>
    </row>
    <row r="302" spans="1:25" s="7" customFormat="1" ht="32.15" customHeight="1" x14ac:dyDescent="0.3">
      <c r="A302" s="114" t="s">
        <v>181</v>
      </c>
      <c r="B302" s="113" t="s">
        <v>182</v>
      </c>
      <c r="C302" s="113" t="s">
        <v>183</v>
      </c>
      <c r="D302" s="97" t="s">
        <v>29</v>
      </c>
      <c r="E302" s="93" t="s">
        <v>18</v>
      </c>
      <c r="F302" s="96">
        <v>31049163</v>
      </c>
      <c r="G302" s="93" t="s">
        <v>611</v>
      </c>
      <c r="H302" s="92" t="s">
        <v>615</v>
      </c>
      <c r="I302" s="93" t="s">
        <v>614</v>
      </c>
      <c r="J302" s="94"/>
      <c r="K302" s="94"/>
      <c r="L302" s="92">
        <v>3</v>
      </c>
      <c r="M302" s="93">
        <v>1</v>
      </c>
      <c r="N302" s="92">
        <v>1</v>
      </c>
      <c r="O302" s="93">
        <v>1</v>
      </c>
      <c r="P302" s="92">
        <v>4</v>
      </c>
      <c r="Q302" s="93">
        <v>4</v>
      </c>
      <c r="R302" s="92">
        <v>3</v>
      </c>
      <c r="S302" s="93">
        <v>4</v>
      </c>
      <c r="T302" s="92">
        <f t="shared" si="16"/>
        <v>11</v>
      </c>
      <c r="U302" s="95">
        <f t="shared" si="17"/>
        <v>10</v>
      </c>
      <c r="V302" s="67">
        <f t="shared" si="19"/>
        <v>1</v>
      </c>
      <c r="W302" s="67" t="str">
        <f>IF(V302&gt;(MEDIAN(Scoring!V:V)+_xlfn.STDEV.P(Scoring!V:V)),"YES","")</f>
        <v/>
      </c>
      <c r="X302" s="67" t="str">
        <f>IF($W302="YES",VLOOKUP($A302,'Editors Rescore'!$A$2:$M$63,13,FALSE),"")</f>
        <v/>
      </c>
      <c r="Y302" s="81">
        <f t="shared" si="18"/>
        <v>10.5</v>
      </c>
    </row>
    <row r="303" spans="1:25" s="7" customFormat="1" ht="32.15" customHeight="1" x14ac:dyDescent="0.3">
      <c r="A303" s="123" t="s">
        <v>95</v>
      </c>
      <c r="B303" s="114" t="s">
        <v>362</v>
      </c>
      <c r="C303" s="114" t="s">
        <v>98</v>
      </c>
      <c r="D303" s="103" t="s">
        <v>29</v>
      </c>
      <c r="E303" s="103" t="s">
        <v>19</v>
      </c>
      <c r="F303" s="103">
        <v>31012136</v>
      </c>
      <c r="G303" s="104" t="s">
        <v>616</v>
      </c>
      <c r="H303" s="105" t="s">
        <v>465</v>
      </c>
      <c r="I303" s="104" t="s">
        <v>604</v>
      </c>
      <c r="J303" s="105">
        <v>3</v>
      </c>
      <c r="K303" s="104">
        <v>5</v>
      </c>
      <c r="L303" s="105">
        <v>1</v>
      </c>
      <c r="M303" s="104">
        <v>1</v>
      </c>
      <c r="N303" s="106"/>
      <c r="O303" s="106"/>
      <c r="P303" s="105">
        <v>4</v>
      </c>
      <c r="Q303" s="104">
        <v>5</v>
      </c>
      <c r="R303" s="105">
        <v>1</v>
      </c>
      <c r="S303" s="104">
        <v>1</v>
      </c>
      <c r="T303" s="92">
        <f t="shared" si="16"/>
        <v>9</v>
      </c>
      <c r="U303" s="95">
        <f t="shared" si="17"/>
        <v>12</v>
      </c>
      <c r="V303" s="67">
        <f t="shared" si="19"/>
        <v>3</v>
      </c>
      <c r="W303" s="67" t="str">
        <f>IF(V303&gt;(MEDIAN(Scoring!V:V)+_xlfn.STDEV.P(Scoring!V:V)),"YES","")</f>
        <v/>
      </c>
      <c r="X303" s="67" t="str">
        <f>IF($W303="YES",VLOOKUP($A303,'Editors Rescore'!$A$2:$M$63,13,FALSE),"")</f>
        <v/>
      </c>
      <c r="Y303" s="81">
        <f t="shared" si="18"/>
        <v>10.5</v>
      </c>
    </row>
    <row r="304" spans="1:25" s="7" customFormat="1" ht="32.15" customHeight="1" x14ac:dyDescent="0.3">
      <c r="A304" s="122" t="s">
        <v>443</v>
      </c>
      <c r="B304" s="112" t="s">
        <v>885</v>
      </c>
      <c r="C304" s="112" t="s">
        <v>225</v>
      </c>
      <c r="D304" s="4" t="s">
        <v>17</v>
      </c>
      <c r="E304" s="4" t="s">
        <v>18</v>
      </c>
      <c r="F304" s="4">
        <v>31725162</v>
      </c>
      <c r="G304" s="4" t="s">
        <v>619</v>
      </c>
      <c r="H304" s="5" t="s">
        <v>621</v>
      </c>
      <c r="I304" s="4" t="s">
        <v>620</v>
      </c>
      <c r="J304" s="11"/>
      <c r="K304" s="11"/>
      <c r="L304" s="6">
        <v>4</v>
      </c>
      <c r="M304" s="4">
        <v>4</v>
      </c>
      <c r="N304" s="6">
        <v>3</v>
      </c>
      <c r="O304" s="4">
        <v>2</v>
      </c>
      <c r="P304" s="6">
        <v>4</v>
      </c>
      <c r="Q304" s="4">
        <v>3</v>
      </c>
      <c r="R304" s="6">
        <v>0</v>
      </c>
      <c r="S304" s="4">
        <v>1</v>
      </c>
      <c r="T304" s="92">
        <f t="shared" si="16"/>
        <v>11</v>
      </c>
      <c r="U304" s="95">
        <f t="shared" si="17"/>
        <v>10</v>
      </c>
      <c r="V304" s="67">
        <f t="shared" si="19"/>
        <v>1</v>
      </c>
      <c r="W304" s="67" t="str">
        <f>IF(V304&gt;(MEDIAN(Scoring!V:V)+_xlfn.STDEV.P(Scoring!V:V)),"YES","")</f>
        <v/>
      </c>
      <c r="X304" s="67" t="str">
        <f>IF($W304="YES",VLOOKUP($A304,'Editors Rescore'!$A$2:$M$63,13,FALSE),"")</f>
        <v/>
      </c>
      <c r="Y304" s="81">
        <f t="shared" si="18"/>
        <v>10.5</v>
      </c>
    </row>
    <row r="305" spans="1:25" s="7" customFormat="1" ht="32.15" customHeight="1" x14ac:dyDescent="0.3">
      <c r="A305" s="131" t="s">
        <v>338</v>
      </c>
      <c r="B305" s="112" t="s">
        <v>892</v>
      </c>
      <c r="C305" s="112" t="s">
        <v>200</v>
      </c>
      <c r="D305" s="4" t="s">
        <v>25</v>
      </c>
      <c r="E305" s="4" t="s">
        <v>18</v>
      </c>
      <c r="F305" s="4">
        <v>31871789</v>
      </c>
      <c r="G305" s="4" t="s">
        <v>616</v>
      </c>
      <c r="H305" s="5" t="s">
        <v>617</v>
      </c>
      <c r="I305" s="4" t="s">
        <v>618</v>
      </c>
      <c r="J305" s="11"/>
      <c r="K305" s="11"/>
      <c r="L305" s="6">
        <v>2</v>
      </c>
      <c r="M305" s="4">
        <v>2</v>
      </c>
      <c r="N305" s="6">
        <v>1</v>
      </c>
      <c r="O305" s="4">
        <v>1</v>
      </c>
      <c r="P305" s="6">
        <v>5</v>
      </c>
      <c r="Q305" s="4">
        <v>4</v>
      </c>
      <c r="R305" s="6">
        <v>3</v>
      </c>
      <c r="S305" s="4">
        <v>3</v>
      </c>
      <c r="T305" s="92">
        <f t="shared" si="16"/>
        <v>11</v>
      </c>
      <c r="U305" s="95">
        <f t="shared" si="17"/>
        <v>10</v>
      </c>
      <c r="V305" s="67">
        <f t="shared" si="19"/>
        <v>1</v>
      </c>
      <c r="W305" s="67" t="str">
        <f>IF(V305&gt;(MEDIAN(Scoring!V:V)+_xlfn.STDEV.P(Scoring!V:V)),"YES","")</f>
        <v/>
      </c>
      <c r="X305" s="67" t="str">
        <f>IF($W305="YES",VLOOKUP($A305,'Editors Rescore'!$A$2:$M$63,13,FALSE),"")</f>
        <v/>
      </c>
      <c r="Y305" s="81">
        <f t="shared" si="18"/>
        <v>10.5</v>
      </c>
    </row>
    <row r="306" spans="1:25" s="7" customFormat="1" ht="16" customHeight="1" x14ac:dyDescent="0.3">
      <c r="A306" s="114" t="s">
        <v>184</v>
      </c>
      <c r="B306" s="114" t="s">
        <v>185</v>
      </c>
      <c r="C306" s="114" t="s">
        <v>52</v>
      </c>
      <c r="D306" s="93" t="s">
        <v>17</v>
      </c>
      <c r="E306" s="93" t="s">
        <v>18</v>
      </c>
      <c r="F306" s="96">
        <v>31059540</v>
      </c>
      <c r="G306" s="93" t="s">
        <v>611</v>
      </c>
      <c r="H306" s="98" t="s">
        <v>615</v>
      </c>
      <c r="I306" s="93" t="s">
        <v>614</v>
      </c>
      <c r="J306" s="94"/>
      <c r="K306" s="94"/>
      <c r="L306" s="98">
        <v>2</v>
      </c>
      <c r="M306" s="93">
        <v>2</v>
      </c>
      <c r="N306" s="98">
        <v>3</v>
      </c>
      <c r="O306" s="93">
        <v>3</v>
      </c>
      <c r="P306" s="98">
        <v>2</v>
      </c>
      <c r="Q306" s="93">
        <v>3</v>
      </c>
      <c r="R306" s="98">
        <v>2</v>
      </c>
      <c r="S306" s="93">
        <v>4</v>
      </c>
      <c r="T306" s="92">
        <f t="shared" si="16"/>
        <v>9</v>
      </c>
      <c r="U306" s="95">
        <f t="shared" si="17"/>
        <v>12</v>
      </c>
      <c r="V306" s="67">
        <f t="shared" si="19"/>
        <v>3</v>
      </c>
      <c r="W306" s="67" t="str">
        <f>IF(V306&gt;(MEDIAN(Scoring!V:V)+_xlfn.STDEV.P(Scoring!V:V)),"YES","")</f>
        <v/>
      </c>
      <c r="X306" s="67" t="str">
        <f>IF($W306="YES",VLOOKUP($A306,'Editors Rescore'!$A$2:$M$63,13,FALSE),"")</f>
        <v/>
      </c>
      <c r="Y306" s="81">
        <f t="shared" si="18"/>
        <v>10.5</v>
      </c>
    </row>
    <row r="307" spans="1:25" s="7" customFormat="1" ht="16" customHeight="1" x14ac:dyDescent="0.3">
      <c r="A307" s="131" t="s">
        <v>852</v>
      </c>
      <c r="B307" s="112" t="s">
        <v>853</v>
      </c>
      <c r="C307" s="112" t="s">
        <v>854</v>
      </c>
      <c r="D307" s="4" t="s">
        <v>17</v>
      </c>
      <c r="E307" s="4" t="s">
        <v>18</v>
      </c>
      <c r="F307" s="4">
        <v>31824667</v>
      </c>
      <c r="G307" s="4" t="s">
        <v>128</v>
      </c>
      <c r="H307" s="5" t="s">
        <v>608</v>
      </c>
      <c r="I307" s="4" t="s">
        <v>607</v>
      </c>
      <c r="J307" s="11"/>
      <c r="K307" s="11"/>
      <c r="L307" s="6">
        <v>2</v>
      </c>
      <c r="M307" s="4">
        <v>3</v>
      </c>
      <c r="N307" s="6">
        <v>4</v>
      </c>
      <c r="O307" s="4">
        <v>4</v>
      </c>
      <c r="P307" s="6">
        <v>1</v>
      </c>
      <c r="Q307" s="4">
        <v>3</v>
      </c>
      <c r="R307" s="6">
        <v>1</v>
      </c>
      <c r="S307" s="4">
        <v>3</v>
      </c>
      <c r="T307" s="92">
        <f t="shared" si="16"/>
        <v>8</v>
      </c>
      <c r="U307" s="95">
        <f t="shared" si="17"/>
        <v>13</v>
      </c>
      <c r="V307" s="67">
        <f t="shared" si="19"/>
        <v>5</v>
      </c>
      <c r="W307" s="67" t="str">
        <f>IF(V307&gt;(MEDIAN(Scoring!V:V)+_xlfn.STDEV.P(Scoring!V:V)),"YES","")</f>
        <v>YES</v>
      </c>
      <c r="X307" s="67">
        <f>IF($W307="YES",VLOOKUP($A307,'Editors Rescore'!$A$2:$M$63,13,FALSE),"")</f>
        <v>10</v>
      </c>
      <c r="Y307" s="81">
        <f t="shared" si="18"/>
        <v>10.333333333333334</v>
      </c>
    </row>
    <row r="308" spans="1:25" s="7" customFormat="1" ht="16" customHeight="1" x14ac:dyDescent="0.3">
      <c r="A308" s="122" t="s">
        <v>657</v>
      </c>
      <c r="B308" s="112" t="s">
        <v>656</v>
      </c>
      <c r="C308" s="112" t="s">
        <v>72</v>
      </c>
      <c r="D308" s="4" t="s">
        <v>17</v>
      </c>
      <c r="E308" s="4" t="s">
        <v>18</v>
      </c>
      <c r="F308" s="4">
        <v>31678941</v>
      </c>
      <c r="G308" s="76" t="s">
        <v>20</v>
      </c>
      <c r="H308" s="83" t="s">
        <v>21</v>
      </c>
      <c r="I308" s="76" t="s">
        <v>606</v>
      </c>
      <c r="J308" s="79"/>
      <c r="K308" s="79"/>
      <c r="L308" s="85">
        <v>3</v>
      </c>
      <c r="M308" s="76">
        <v>3</v>
      </c>
      <c r="N308" s="85">
        <v>3</v>
      </c>
      <c r="O308" s="76">
        <v>4</v>
      </c>
      <c r="P308" s="85">
        <v>3</v>
      </c>
      <c r="Q308" s="76">
        <v>1</v>
      </c>
      <c r="R308" s="85">
        <v>1</v>
      </c>
      <c r="S308" s="76">
        <v>2</v>
      </c>
      <c r="T308" s="92">
        <f t="shared" si="16"/>
        <v>10</v>
      </c>
      <c r="U308" s="95">
        <f t="shared" si="17"/>
        <v>10</v>
      </c>
      <c r="V308" s="67">
        <f t="shared" si="19"/>
        <v>0</v>
      </c>
      <c r="W308" s="67" t="str">
        <f>IF(V308&gt;(MEDIAN(Scoring!V:V)+_xlfn.STDEV.P(Scoring!V:V)),"YES","")</f>
        <v/>
      </c>
      <c r="X308" s="67" t="str">
        <f>IF($W308="YES",VLOOKUP($A308,'Editors Rescore'!$A$2:$M$63,13,FALSE),"")</f>
        <v/>
      </c>
      <c r="Y308" s="81">
        <f t="shared" si="18"/>
        <v>10</v>
      </c>
    </row>
    <row r="309" spans="1:25" s="7" customFormat="1" ht="16" customHeight="1" x14ac:dyDescent="0.3">
      <c r="A309" s="122" t="s">
        <v>731</v>
      </c>
      <c r="B309" s="115" t="s">
        <v>732</v>
      </c>
      <c r="C309" s="115" t="s">
        <v>371</v>
      </c>
      <c r="D309" s="76" t="s">
        <v>29</v>
      </c>
      <c r="E309" s="4" t="s">
        <v>18</v>
      </c>
      <c r="F309" s="4">
        <v>31623917</v>
      </c>
      <c r="G309" s="76" t="s">
        <v>624</v>
      </c>
      <c r="H309" s="83" t="s">
        <v>366</v>
      </c>
      <c r="I309" s="76" t="s">
        <v>625</v>
      </c>
      <c r="J309" s="79"/>
      <c r="K309" s="79"/>
      <c r="L309" s="85">
        <v>1</v>
      </c>
      <c r="M309" s="76">
        <v>2</v>
      </c>
      <c r="N309" s="85">
        <v>4</v>
      </c>
      <c r="O309" s="76">
        <v>4</v>
      </c>
      <c r="P309" s="85">
        <v>2</v>
      </c>
      <c r="Q309" s="76">
        <v>3</v>
      </c>
      <c r="R309" s="85">
        <v>3</v>
      </c>
      <c r="S309" s="76">
        <v>1</v>
      </c>
      <c r="T309" s="92">
        <f t="shared" si="16"/>
        <v>10</v>
      </c>
      <c r="U309" s="95">
        <f t="shared" si="17"/>
        <v>10</v>
      </c>
      <c r="V309" s="67">
        <f t="shared" si="19"/>
        <v>0</v>
      </c>
      <c r="W309" s="67" t="str">
        <f>IF(V309&gt;(MEDIAN(Scoring!V:V)+_xlfn.STDEV.P(Scoring!V:V)),"YES","")</f>
        <v/>
      </c>
      <c r="X309" s="67" t="str">
        <f>IF($W309="YES",VLOOKUP($A309,'Editors Rescore'!$A$2:$M$63,13,FALSE),"")</f>
        <v/>
      </c>
      <c r="Y309" s="81">
        <f t="shared" si="18"/>
        <v>10</v>
      </c>
    </row>
    <row r="310" spans="1:25" s="7" customFormat="1" ht="16" customHeight="1" x14ac:dyDescent="0.3">
      <c r="A310" s="122" t="s">
        <v>480</v>
      </c>
      <c r="B310" s="112" t="s">
        <v>481</v>
      </c>
      <c r="C310" s="112" t="s">
        <v>482</v>
      </c>
      <c r="D310" s="4" t="s">
        <v>29</v>
      </c>
      <c r="E310" s="4" t="s">
        <v>18</v>
      </c>
      <c r="F310" s="4">
        <v>31328583</v>
      </c>
      <c r="G310" s="4" t="s">
        <v>616</v>
      </c>
      <c r="H310" s="5" t="s">
        <v>618</v>
      </c>
      <c r="I310" s="4" t="s">
        <v>617</v>
      </c>
      <c r="J310" s="11"/>
      <c r="K310" s="11"/>
      <c r="L310" s="6">
        <v>3</v>
      </c>
      <c r="M310" s="4">
        <v>2</v>
      </c>
      <c r="N310" s="6">
        <v>1</v>
      </c>
      <c r="O310" s="4">
        <v>1</v>
      </c>
      <c r="P310" s="6">
        <v>3</v>
      </c>
      <c r="Q310" s="4">
        <v>5</v>
      </c>
      <c r="R310" s="6">
        <v>3</v>
      </c>
      <c r="S310" s="4">
        <v>2</v>
      </c>
      <c r="T310" s="92">
        <f t="shared" si="16"/>
        <v>10</v>
      </c>
      <c r="U310" s="95">
        <f t="shared" si="17"/>
        <v>10</v>
      </c>
      <c r="V310" s="67">
        <f t="shared" si="19"/>
        <v>0</v>
      </c>
      <c r="W310" s="67" t="str">
        <f>IF(V310&gt;(MEDIAN(Scoring!V:V)+_xlfn.STDEV.P(Scoring!V:V)),"YES","")</f>
        <v/>
      </c>
      <c r="X310" s="67" t="str">
        <f>IF($W310="YES",VLOOKUP($A310,'Editors Rescore'!$A$2:$M$63,13,FALSE),"")</f>
        <v/>
      </c>
      <c r="Y310" s="81">
        <f t="shared" si="18"/>
        <v>10</v>
      </c>
    </row>
    <row r="311" spans="1:25" s="7" customFormat="1" ht="16" customHeight="1" x14ac:dyDescent="0.3">
      <c r="A311" s="123" t="s">
        <v>129</v>
      </c>
      <c r="B311" s="133" t="s">
        <v>796</v>
      </c>
      <c r="C311" s="114" t="s">
        <v>130</v>
      </c>
      <c r="D311" s="103" t="s">
        <v>29</v>
      </c>
      <c r="E311" s="103" t="s">
        <v>19</v>
      </c>
      <c r="F311" s="103">
        <v>31462883</v>
      </c>
      <c r="G311" s="103" t="s">
        <v>128</v>
      </c>
      <c r="H311" s="107" t="s">
        <v>609</v>
      </c>
      <c r="I311" s="103" t="s">
        <v>610</v>
      </c>
      <c r="J311" s="107">
        <v>5</v>
      </c>
      <c r="K311" s="103">
        <v>3</v>
      </c>
      <c r="L311" s="107">
        <v>0</v>
      </c>
      <c r="M311" s="103">
        <v>0</v>
      </c>
      <c r="N311" s="108"/>
      <c r="O311" s="108"/>
      <c r="P311" s="107">
        <v>4</v>
      </c>
      <c r="Q311" s="103">
        <v>5</v>
      </c>
      <c r="R311" s="107">
        <v>1</v>
      </c>
      <c r="S311" s="103">
        <v>2</v>
      </c>
      <c r="T311" s="92">
        <f t="shared" si="16"/>
        <v>10</v>
      </c>
      <c r="U311" s="95">
        <f t="shared" si="17"/>
        <v>10</v>
      </c>
      <c r="V311" s="67">
        <f t="shared" si="19"/>
        <v>0</v>
      </c>
      <c r="W311" s="67" t="str">
        <f>IF(V311&gt;(MEDIAN(Scoring!V:V)+_xlfn.STDEV.P(Scoring!V:V)),"YES","")</f>
        <v/>
      </c>
      <c r="X311" s="67" t="str">
        <f>IF($W311="YES",VLOOKUP($A311,'Editors Rescore'!$A$2:$M$63,13,FALSE),"")</f>
        <v/>
      </c>
      <c r="Y311" s="81">
        <f t="shared" si="18"/>
        <v>10</v>
      </c>
    </row>
    <row r="312" spans="1:25" s="7" customFormat="1" ht="16" customHeight="1" x14ac:dyDescent="0.3">
      <c r="A312" s="114" t="s">
        <v>201</v>
      </c>
      <c r="B312" s="134" t="s">
        <v>809</v>
      </c>
      <c r="C312" s="113" t="s">
        <v>202</v>
      </c>
      <c r="D312" s="97" t="s">
        <v>17</v>
      </c>
      <c r="E312" s="93" t="s">
        <v>18</v>
      </c>
      <c r="F312" s="96">
        <v>30914896</v>
      </c>
      <c r="G312" s="97" t="s">
        <v>611</v>
      </c>
      <c r="H312" s="98" t="s">
        <v>613</v>
      </c>
      <c r="I312" s="97" t="s">
        <v>612</v>
      </c>
      <c r="J312" s="99"/>
      <c r="K312" s="99"/>
      <c r="L312" s="98">
        <v>2</v>
      </c>
      <c r="M312" s="97">
        <v>4</v>
      </c>
      <c r="N312" s="98">
        <v>4</v>
      </c>
      <c r="O312" s="97">
        <v>4</v>
      </c>
      <c r="P312" s="98">
        <v>3</v>
      </c>
      <c r="Q312" s="97">
        <v>3</v>
      </c>
      <c r="R312" s="98">
        <v>0</v>
      </c>
      <c r="S312" s="97">
        <v>0</v>
      </c>
      <c r="T312" s="92">
        <f t="shared" si="16"/>
        <v>9</v>
      </c>
      <c r="U312" s="95">
        <f t="shared" si="17"/>
        <v>11</v>
      </c>
      <c r="V312" s="67">
        <f t="shared" si="19"/>
        <v>2</v>
      </c>
      <c r="W312" s="67" t="str">
        <f>IF(V312&gt;(MEDIAN(Scoring!V:V)+_xlfn.STDEV.P(Scoring!V:V)),"YES","")</f>
        <v/>
      </c>
      <c r="X312" s="67" t="str">
        <f>IF($W312="YES",VLOOKUP($A312,'Editors Rescore'!$A$2:$M$63,13,FALSE),"")</f>
        <v/>
      </c>
      <c r="Y312" s="81">
        <f t="shared" si="18"/>
        <v>10</v>
      </c>
    </row>
    <row r="313" spans="1:25" s="7" customFormat="1" ht="32.15" customHeight="1" x14ac:dyDescent="0.3">
      <c r="A313" s="122" t="s">
        <v>823</v>
      </c>
      <c r="B313" s="112" t="s">
        <v>824</v>
      </c>
      <c r="C313" s="112" t="s">
        <v>581</v>
      </c>
      <c r="D313" s="4" t="s">
        <v>507</v>
      </c>
      <c r="E313" s="4" t="s">
        <v>580</v>
      </c>
      <c r="F313" s="4">
        <v>31267349</v>
      </c>
      <c r="G313" s="4" t="s">
        <v>611</v>
      </c>
      <c r="H313" s="5" t="s">
        <v>613</v>
      </c>
      <c r="I313" s="4" t="s">
        <v>612</v>
      </c>
      <c r="J313" s="5">
        <v>4</v>
      </c>
      <c r="K313" s="4">
        <v>5</v>
      </c>
      <c r="L313" s="5">
        <v>1</v>
      </c>
      <c r="M313" s="4">
        <v>1</v>
      </c>
      <c r="N313" s="11"/>
      <c r="O313" s="11"/>
      <c r="P313" s="5">
        <v>4</v>
      </c>
      <c r="Q313" s="4">
        <v>4</v>
      </c>
      <c r="R313" s="5">
        <v>1</v>
      </c>
      <c r="S313" s="4">
        <v>0</v>
      </c>
      <c r="T313" s="92">
        <f t="shared" si="16"/>
        <v>10</v>
      </c>
      <c r="U313" s="95">
        <f t="shared" si="17"/>
        <v>10</v>
      </c>
      <c r="V313" s="67">
        <f t="shared" si="19"/>
        <v>0</v>
      </c>
      <c r="W313" s="67" t="str">
        <f>IF(V313&gt;(MEDIAN(Scoring!V:V)+_xlfn.STDEV.P(Scoring!V:V)),"YES","")</f>
        <v/>
      </c>
      <c r="X313" s="67" t="str">
        <f>IF($W313="YES",VLOOKUP($A313,'Editors Rescore'!$A$2:$M$63,13,FALSE),"")</f>
        <v/>
      </c>
      <c r="Y313" s="81">
        <f t="shared" si="18"/>
        <v>10</v>
      </c>
    </row>
    <row r="314" spans="1:25" s="7" customFormat="1" ht="16" customHeight="1" x14ac:dyDescent="0.3">
      <c r="A314" s="122" t="s">
        <v>415</v>
      </c>
      <c r="B314" s="115" t="s">
        <v>862</v>
      </c>
      <c r="C314" s="115" t="s">
        <v>861</v>
      </c>
      <c r="D314" s="76" t="s">
        <v>17</v>
      </c>
      <c r="E314" s="4" t="s">
        <v>18</v>
      </c>
      <c r="F314" s="4">
        <v>29388905</v>
      </c>
      <c r="G314" s="76" t="s">
        <v>128</v>
      </c>
      <c r="H314" s="83" t="s">
        <v>607</v>
      </c>
      <c r="I314" s="76" t="s">
        <v>608</v>
      </c>
      <c r="J314" s="79"/>
      <c r="K314" s="79"/>
      <c r="L314" s="85">
        <v>3</v>
      </c>
      <c r="M314" s="76">
        <v>3</v>
      </c>
      <c r="N314" s="85">
        <v>4</v>
      </c>
      <c r="O314" s="76">
        <v>3</v>
      </c>
      <c r="P314" s="85">
        <v>2</v>
      </c>
      <c r="Q314" s="76">
        <v>0</v>
      </c>
      <c r="R314" s="85">
        <v>3</v>
      </c>
      <c r="S314" s="76">
        <v>0</v>
      </c>
      <c r="T314" s="92">
        <f t="shared" si="16"/>
        <v>12</v>
      </c>
      <c r="U314" s="95">
        <f t="shared" si="17"/>
        <v>6</v>
      </c>
      <c r="V314" s="67">
        <f t="shared" si="19"/>
        <v>6</v>
      </c>
      <c r="W314" s="67" t="str">
        <f>IF(V314&gt;(MEDIAN(Scoring!V:V)+_xlfn.STDEV.P(Scoring!V:V)),"YES","")</f>
        <v>YES</v>
      </c>
      <c r="X314" s="67">
        <f>IF($W314="YES",VLOOKUP($A314,'Editors Rescore'!$A$2:$M$63,13,FALSE),"")</f>
        <v>12</v>
      </c>
      <c r="Y314" s="81">
        <f t="shared" si="18"/>
        <v>10</v>
      </c>
    </row>
    <row r="315" spans="1:25" s="7" customFormat="1" ht="32.15" customHeight="1" x14ac:dyDescent="0.3">
      <c r="A315" s="141" t="s">
        <v>899</v>
      </c>
      <c r="B315" s="114" t="s">
        <v>78</v>
      </c>
      <c r="C315" s="114" t="s">
        <v>81</v>
      </c>
      <c r="D315" s="103" t="s">
        <v>29</v>
      </c>
      <c r="E315" s="103" t="s">
        <v>19</v>
      </c>
      <c r="F315" s="103">
        <v>31334262</v>
      </c>
      <c r="G315" s="104" t="s">
        <v>616</v>
      </c>
      <c r="H315" s="105" t="s">
        <v>618</v>
      </c>
      <c r="I315" s="104" t="s">
        <v>617</v>
      </c>
      <c r="J315" s="105">
        <v>3</v>
      </c>
      <c r="K315" s="104">
        <v>5</v>
      </c>
      <c r="L315" s="105">
        <v>1</v>
      </c>
      <c r="M315" s="104">
        <v>1</v>
      </c>
      <c r="N315" s="106"/>
      <c r="O315" s="106"/>
      <c r="P315" s="105">
        <v>2</v>
      </c>
      <c r="Q315" s="104">
        <v>5</v>
      </c>
      <c r="R315" s="105">
        <v>1</v>
      </c>
      <c r="S315" s="104">
        <v>1</v>
      </c>
      <c r="T315" s="92">
        <f t="shared" si="16"/>
        <v>7</v>
      </c>
      <c r="U315" s="95">
        <f t="shared" si="17"/>
        <v>12</v>
      </c>
      <c r="V315" s="67">
        <f t="shared" si="19"/>
        <v>5</v>
      </c>
      <c r="W315" s="67" t="str">
        <f>IF(V315&gt;(MEDIAN(Scoring!V:V)+_xlfn.STDEV.P(Scoring!V:V)),"YES","")</f>
        <v>YES</v>
      </c>
      <c r="X315" s="67">
        <f>IF($W315="YES",VLOOKUP($A315,'Editors Rescore'!$A$2:$M$63,13,FALSE),"")</f>
        <v>11</v>
      </c>
      <c r="Y315" s="81">
        <f t="shared" si="18"/>
        <v>10</v>
      </c>
    </row>
    <row r="316" spans="1:25" s="7" customFormat="1" ht="32.15" customHeight="1" x14ac:dyDescent="0.3">
      <c r="A316" s="140" t="s">
        <v>903</v>
      </c>
      <c r="B316" s="140" t="s">
        <v>904</v>
      </c>
      <c r="C316" s="114" t="s">
        <v>309</v>
      </c>
      <c r="D316" s="93" t="s">
        <v>17</v>
      </c>
      <c r="E316" s="93" t="s">
        <v>18</v>
      </c>
      <c r="F316" s="96">
        <v>31342688</v>
      </c>
      <c r="G316" s="93" t="s">
        <v>20</v>
      </c>
      <c r="H316" s="98" t="s">
        <v>21</v>
      </c>
      <c r="I316" s="93" t="s">
        <v>606</v>
      </c>
      <c r="J316" s="94"/>
      <c r="K316" s="94"/>
      <c r="L316" s="98">
        <v>4</v>
      </c>
      <c r="M316" s="93">
        <v>4</v>
      </c>
      <c r="N316" s="98">
        <v>2</v>
      </c>
      <c r="O316" s="93">
        <v>2</v>
      </c>
      <c r="P316" s="98">
        <v>3</v>
      </c>
      <c r="Q316" s="93">
        <v>3</v>
      </c>
      <c r="R316" s="98">
        <v>0</v>
      </c>
      <c r="S316" s="93">
        <v>2</v>
      </c>
      <c r="T316" s="92">
        <f t="shared" si="16"/>
        <v>9</v>
      </c>
      <c r="U316" s="95">
        <f t="shared" si="17"/>
        <v>11</v>
      </c>
      <c r="V316" s="67">
        <f t="shared" si="19"/>
        <v>2</v>
      </c>
      <c r="W316" s="67" t="str">
        <f>IF(V316&gt;(MEDIAN(Scoring!V:V)+_xlfn.STDEV.P(Scoring!V:V)),"YES","")</f>
        <v/>
      </c>
      <c r="X316" s="67" t="str">
        <f>IF($W316="YES",VLOOKUP($A316,'Editors Rescore'!$A$2:$M$63,13,FALSE),"")</f>
        <v/>
      </c>
      <c r="Y316" s="81">
        <f t="shared" si="18"/>
        <v>10</v>
      </c>
    </row>
    <row r="317" spans="1:25" s="7" customFormat="1" ht="32.15" customHeight="1" x14ac:dyDescent="0.3">
      <c r="A317" s="112" t="s">
        <v>687</v>
      </c>
      <c r="B317" s="112" t="s">
        <v>690</v>
      </c>
      <c r="C317" s="112"/>
      <c r="D317" s="4" t="s">
        <v>29</v>
      </c>
      <c r="E317" s="4" t="s">
        <v>19</v>
      </c>
      <c r="F317" s="4"/>
      <c r="G317" s="4" t="s">
        <v>624</v>
      </c>
      <c r="H317" s="83" t="s">
        <v>366</v>
      </c>
      <c r="I317" s="4" t="s">
        <v>625</v>
      </c>
      <c r="J317" s="6">
        <v>5</v>
      </c>
      <c r="K317" s="4">
        <v>4</v>
      </c>
      <c r="L317" s="85">
        <v>0</v>
      </c>
      <c r="M317" s="4">
        <v>0</v>
      </c>
      <c r="N317" s="79"/>
      <c r="O317" s="11"/>
      <c r="P317" s="85">
        <v>4</v>
      </c>
      <c r="Q317" s="4">
        <v>3</v>
      </c>
      <c r="R317" s="85">
        <v>1</v>
      </c>
      <c r="S317" s="4">
        <v>2</v>
      </c>
      <c r="T317" s="92">
        <f t="shared" si="16"/>
        <v>10</v>
      </c>
      <c r="U317" s="95">
        <f t="shared" si="17"/>
        <v>9</v>
      </c>
      <c r="V317" s="67">
        <f t="shared" si="19"/>
        <v>1</v>
      </c>
      <c r="W317" s="67" t="str">
        <f>IF(V317&gt;(MEDIAN(Scoring!V:V)+_xlfn.STDEV.P(Scoring!V:V)),"YES","")</f>
        <v/>
      </c>
      <c r="X317" s="67" t="str">
        <f>IF($W317="YES",VLOOKUP($A317,'Editors Rescore'!$A$2:$M$63,13,FALSE),"")</f>
        <v/>
      </c>
      <c r="Y317" s="81">
        <f t="shared" si="18"/>
        <v>9.5</v>
      </c>
    </row>
    <row r="318" spans="1:25" s="7" customFormat="1" ht="16" customHeight="1" x14ac:dyDescent="0.3">
      <c r="A318" s="128" t="s">
        <v>721</v>
      </c>
      <c r="B318" s="114" t="s">
        <v>117</v>
      </c>
      <c r="C318" s="114" t="s">
        <v>118</v>
      </c>
      <c r="D318" s="93" t="s">
        <v>17</v>
      </c>
      <c r="E318" s="93" t="s">
        <v>18</v>
      </c>
      <c r="F318" s="96">
        <v>31095218</v>
      </c>
      <c r="G318" s="93" t="s">
        <v>619</v>
      </c>
      <c r="H318" s="92" t="s">
        <v>620</v>
      </c>
      <c r="I318" s="93" t="s">
        <v>621</v>
      </c>
      <c r="J318" s="94"/>
      <c r="K318" s="94"/>
      <c r="L318" s="92">
        <v>3</v>
      </c>
      <c r="M318" s="93">
        <v>3</v>
      </c>
      <c r="N318" s="92">
        <v>2</v>
      </c>
      <c r="O318" s="93">
        <v>2</v>
      </c>
      <c r="P318" s="92">
        <v>3</v>
      </c>
      <c r="Q318" s="93">
        <v>5</v>
      </c>
      <c r="R318" s="92">
        <v>1</v>
      </c>
      <c r="S318" s="93">
        <v>0</v>
      </c>
      <c r="T318" s="92">
        <f t="shared" si="16"/>
        <v>9</v>
      </c>
      <c r="U318" s="95">
        <f t="shared" si="17"/>
        <v>10</v>
      </c>
      <c r="V318" s="67">
        <f t="shared" si="19"/>
        <v>1</v>
      </c>
      <c r="W318" s="67" t="str">
        <f>IF(V318&gt;(MEDIAN(Scoring!V:V)+_xlfn.STDEV.P(Scoring!V:V)),"YES","")</f>
        <v/>
      </c>
      <c r="X318" s="67" t="str">
        <f>IF($W318="YES",VLOOKUP($A318,'Editors Rescore'!$A$2:$M$63,13,FALSE),"")</f>
        <v/>
      </c>
      <c r="Y318" s="81">
        <f t="shared" si="18"/>
        <v>9.5</v>
      </c>
    </row>
    <row r="319" spans="1:25" s="7" customFormat="1" ht="16" customHeight="1" x14ac:dyDescent="0.3">
      <c r="A319" s="114" t="s">
        <v>300</v>
      </c>
      <c r="B319" s="134" t="s">
        <v>802</v>
      </c>
      <c r="C319" s="113" t="s">
        <v>260</v>
      </c>
      <c r="D319" s="97" t="s">
        <v>17</v>
      </c>
      <c r="E319" s="93" t="s">
        <v>18</v>
      </c>
      <c r="F319" s="96">
        <v>31293909</v>
      </c>
      <c r="G319" s="93" t="s">
        <v>128</v>
      </c>
      <c r="H319" s="92" t="s">
        <v>608</v>
      </c>
      <c r="I319" s="93" t="s">
        <v>607</v>
      </c>
      <c r="J319" s="94"/>
      <c r="K319" s="94"/>
      <c r="L319" s="92">
        <v>4</v>
      </c>
      <c r="M319" s="93">
        <v>4</v>
      </c>
      <c r="N319" s="92">
        <v>1</v>
      </c>
      <c r="O319" s="93">
        <v>1</v>
      </c>
      <c r="P319" s="92">
        <v>4</v>
      </c>
      <c r="Q319" s="93">
        <v>4</v>
      </c>
      <c r="R319" s="92">
        <v>0</v>
      </c>
      <c r="S319" s="93">
        <v>1</v>
      </c>
      <c r="T319" s="92">
        <f t="shared" si="16"/>
        <v>9</v>
      </c>
      <c r="U319" s="95">
        <f t="shared" si="17"/>
        <v>10</v>
      </c>
      <c r="V319" s="67">
        <f t="shared" si="19"/>
        <v>1</v>
      </c>
      <c r="W319" s="67" t="str">
        <f>IF(V319&gt;(MEDIAN(Scoring!V:V)+_xlfn.STDEV.P(Scoring!V:V)),"YES","")</f>
        <v/>
      </c>
      <c r="X319" s="67" t="str">
        <f>IF($W319="YES",VLOOKUP($A319,'Editors Rescore'!$A$2:$M$63,13,FALSE),"")</f>
        <v/>
      </c>
      <c r="Y319" s="81">
        <f t="shared" si="18"/>
        <v>9.5</v>
      </c>
    </row>
    <row r="320" spans="1:25" s="7" customFormat="1" ht="32.15" customHeight="1" x14ac:dyDescent="0.3">
      <c r="A320" s="123" t="s">
        <v>40</v>
      </c>
      <c r="B320" s="136" t="s">
        <v>834</v>
      </c>
      <c r="C320" s="114" t="s">
        <v>41</v>
      </c>
      <c r="D320" s="103" t="s">
        <v>17</v>
      </c>
      <c r="E320" s="103" t="s">
        <v>19</v>
      </c>
      <c r="F320" s="103">
        <v>30958339</v>
      </c>
      <c r="G320" s="104" t="s">
        <v>619</v>
      </c>
      <c r="H320" s="105" t="s">
        <v>620</v>
      </c>
      <c r="I320" s="104" t="s">
        <v>621</v>
      </c>
      <c r="J320" s="105">
        <v>2</v>
      </c>
      <c r="K320" s="104">
        <v>4</v>
      </c>
      <c r="L320" s="105">
        <v>1</v>
      </c>
      <c r="M320" s="104">
        <v>0</v>
      </c>
      <c r="N320" s="106"/>
      <c r="O320" s="106"/>
      <c r="P320" s="105">
        <v>3</v>
      </c>
      <c r="Q320" s="104">
        <v>3</v>
      </c>
      <c r="R320" s="105">
        <v>4</v>
      </c>
      <c r="S320" s="104">
        <v>2</v>
      </c>
      <c r="T320" s="92">
        <f t="shared" si="16"/>
        <v>10</v>
      </c>
      <c r="U320" s="95">
        <f t="shared" si="17"/>
        <v>9</v>
      </c>
      <c r="V320" s="67">
        <f t="shared" si="19"/>
        <v>1</v>
      </c>
      <c r="W320" s="67" t="str">
        <f>IF(V320&gt;(MEDIAN(Scoring!V:V)+_xlfn.STDEV.P(Scoring!V:V)),"YES","")</f>
        <v/>
      </c>
      <c r="X320" s="67" t="str">
        <f>IF($W320="YES",VLOOKUP($A320,'Editors Rescore'!$A$2:$M$63,13,FALSE),"")</f>
        <v/>
      </c>
      <c r="Y320" s="81">
        <f t="shared" si="18"/>
        <v>9.5</v>
      </c>
    </row>
    <row r="321" spans="1:25" s="7" customFormat="1" ht="32.15" customHeight="1" x14ac:dyDescent="0.3">
      <c r="A321" s="122" t="s">
        <v>929</v>
      </c>
      <c r="B321" s="117" t="s">
        <v>928</v>
      </c>
      <c r="C321" s="117"/>
      <c r="D321" s="74" t="s">
        <v>29</v>
      </c>
      <c r="E321" s="4" t="s">
        <v>18</v>
      </c>
      <c r="F321" s="4"/>
      <c r="G321" s="4" t="s">
        <v>624</v>
      </c>
      <c r="H321" s="5" t="s">
        <v>625</v>
      </c>
      <c r="I321" s="4" t="s">
        <v>366</v>
      </c>
      <c r="J321" s="11"/>
      <c r="K321" s="11"/>
      <c r="L321" s="6">
        <v>3</v>
      </c>
      <c r="M321" s="4">
        <v>3</v>
      </c>
      <c r="N321" s="6">
        <v>0</v>
      </c>
      <c r="O321" s="4">
        <v>0</v>
      </c>
      <c r="P321" s="6">
        <v>4</v>
      </c>
      <c r="Q321" s="4">
        <v>4</v>
      </c>
      <c r="R321" s="6">
        <v>4</v>
      </c>
      <c r="S321" s="4">
        <v>1</v>
      </c>
      <c r="T321" s="92">
        <f t="shared" si="16"/>
        <v>11</v>
      </c>
      <c r="U321" s="95">
        <f t="shared" si="17"/>
        <v>8</v>
      </c>
      <c r="V321" s="67">
        <f t="shared" si="19"/>
        <v>3</v>
      </c>
      <c r="W321" s="67" t="str">
        <f>IF(V321&gt;(MEDIAN(Scoring!V:V)+_xlfn.STDEV.P(Scoring!V:V)),"YES","")</f>
        <v/>
      </c>
      <c r="X321" s="67" t="str">
        <f>IF($W321="YES",VLOOKUP($A321,'Editors Rescore'!$A$2:$M$63,13,FALSE),"")</f>
        <v/>
      </c>
      <c r="Y321" s="81">
        <f t="shared" si="18"/>
        <v>9.5</v>
      </c>
    </row>
    <row r="322" spans="1:25" s="7" customFormat="1" ht="32.15" customHeight="1" x14ac:dyDescent="0.3">
      <c r="A322" s="122" t="s">
        <v>931</v>
      </c>
      <c r="B322" s="115" t="s">
        <v>932</v>
      </c>
      <c r="C322" s="115"/>
      <c r="D322" s="76" t="s">
        <v>29</v>
      </c>
      <c r="E322" s="4" t="s">
        <v>19</v>
      </c>
      <c r="F322" s="4"/>
      <c r="G322" s="4" t="s">
        <v>624</v>
      </c>
      <c r="H322" s="83" t="s">
        <v>625</v>
      </c>
      <c r="I322" s="4" t="s">
        <v>366</v>
      </c>
      <c r="J322" s="6">
        <v>3</v>
      </c>
      <c r="K322" s="4">
        <v>4</v>
      </c>
      <c r="L322" s="85">
        <v>0</v>
      </c>
      <c r="M322" s="4">
        <v>0</v>
      </c>
      <c r="N322" s="79"/>
      <c r="O322" s="11"/>
      <c r="P322" s="85">
        <v>3</v>
      </c>
      <c r="Q322" s="4">
        <v>4</v>
      </c>
      <c r="R322" s="85">
        <v>2</v>
      </c>
      <c r="S322" s="4">
        <v>3</v>
      </c>
      <c r="T322" s="92">
        <f t="shared" si="16"/>
        <v>8</v>
      </c>
      <c r="U322" s="95">
        <f t="shared" si="17"/>
        <v>11</v>
      </c>
      <c r="V322" s="67">
        <f t="shared" si="19"/>
        <v>3</v>
      </c>
      <c r="W322" s="67" t="str">
        <f>IF(V322&gt;(MEDIAN(Scoring!V:V)+_xlfn.STDEV.P(Scoring!V:V)),"YES","")</f>
        <v/>
      </c>
      <c r="X322" s="67" t="str">
        <f>IF($W322="YES",VLOOKUP($A322,'Editors Rescore'!$A$2:$M$63,13,FALSE),"")</f>
        <v/>
      </c>
      <c r="Y322" s="81">
        <f t="shared" si="18"/>
        <v>9.5</v>
      </c>
    </row>
    <row r="323" spans="1:25" s="7" customFormat="1" ht="32.15" customHeight="1" x14ac:dyDescent="0.3">
      <c r="A323" s="122" t="s">
        <v>931</v>
      </c>
      <c r="B323" s="117" t="s">
        <v>930</v>
      </c>
      <c r="C323" s="117"/>
      <c r="D323" s="74" t="s">
        <v>29</v>
      </c>
      <c r="E323" s="4" t="s">
        <v>18</v>
      </c>
      <c r="F323" s="4"/>
      <c r="G323" s="4" t="s">
        <v>624</v>
      </c>
      <c r="H323" s="5" t="s">
        <v>625</v>
      </c>
      <c r="I323" s="4" t="s">
        <v>366</v>
      </c>
      <c r="J323" s="11"/>
      <c r="K323" s="11"/>
      <c r="L323" s="6">
        <v>3</v>
      </c>
      <c r="M323" s="4">
        <v>1</v>
      </c>
      <c r="N323" s="6">
        <v>0</v>
      </c>
      <c r="O323" s="4">
        <v>0</v>
      </c>
      <c r="P323" s="6">
        <v>4</v>
      </c>
      <c r="Q323" s="4">
        <v>4</v>
      </c>
      <c r="R323" s="6">
        <v>4</v>
      </c>
      <c r="S323" s="4">
        <v>3</v>
      </c>
      <c r="T323" s="92">
        <f t="shared" ref="T323:T358" si="20">J323+L323+N323+P323+R323</f>
        <v>11</v>
      </c>
      <c r="U323" s="95">
        <f t="shared" ref="U323:U358" si="21">K323+M323+O323+Q323+S323</f>
        <v>8</v>
      </c>
      <c r="V323" s="67">
        <f t="shared" si="19"/>
        <v>3</v>
      </c>
      <c r="W323" s="67" t="str">
        <f>IF(V323&gt;(MEDIAN(Scoring!V:V)+_xlfn.STDEV.P(Scoring!V:V)),"YES","")</f>
        <v/>
      </c>
      <c r="X323" s="67" t="str">
        <f>IF($W323="YES",VLOOKUP($A323,'Editors Rescore'!$A$2:$M$63,13,FALSE),"")</f>
        <v/>
      </c>
      <c r="Y323" s="81">
        <f t="shared" ref="Y323:Y358" si="22">IF(W323="YES",AVERAGE(T323,U323,X323),AVERAGE(T323,U323))</f>
        <v>9.5</v>
      </c>
    </row>
    <row r="324" spans="1:25" s="7" customFormat="1" ht="32.15" customHeight="1" x14ac:dyDescent="0.3">
      <c r="A324" s="122" t="s">
        <v>461</v>
      </c>
      <c r="B324" s="112" t="s">
        <v>462</v>
      </c>
      <c r="C324" s="112" t="s">
        <v>463</v>
      </c>
      <c r="D324" s="4" t="s">
        <v>17</v>
      </c>
      <c r="E324" s="4" t="s">
        <v>18</v>
      </c>
      <c r="F324" s="8">
        <v>31641402</v>
      </c>
      <c r="G324" s="76" t="s">
        <v>20</v>
      </c>
      <c r="H324" s="83" t="s">
        <v>606</v>
      </c>
      <c r="I324" s="76" t="s">
        <v>21</v>
      </c>
      <c r="J324" s="79"/>
      <c r="K324" s="79"/>
      <c r="L324" s="85">
        <v>4</v>
      </c>
      <c r="M324" s="76">
        <v>4</v>
      </c>
      <c r="N324" s="85">
        <v>3</v>
      </c>
      <c r="O324" s="76">
        <v>3</v>
      </c>
      <c r="P324" s="85">
        <v>1</v>
      </c>
      <c r="Q324" s="76">
        <v>2</v>
      </c>
      <c r="R324" s="85">
        <v>1</v>
      </c>
      <c r="S324" s="76">
        <v>1</v>
      </c>
      <c r="T324" s="92">
        <f t="shared" si="20"/>
        <v>9</v>
      </c>
      <c r="U324" s="95">
        <f t="shared" si="21"/>
        <v>10</v>
      </c>
      <c r="V324" s="67">
        <f t="shared" ref="V324:V358" si="23">ABS(T324-U324)</f>
        <v>1</v>
      </c>
      <c r="W324" s="67" t="str">
        <f>IF(V324&gt;(MEDIAN(Scoring!V:V)+_xlfn.STDEV.P(Scoring!V:V)),"YES","")</f>
        <v/>
      </c>
      <c r="X324" s="67" t="str">
        <f>IF($W324="YES",VLOOKUP($A324,'Editors Rescore'!$A$2:$M$63,13,FALSE),"")</f>
        <v/>
      </c>
      <c r="Y324" s="81">
        <f t="shared" si="22"/>
        <v>9.5</v>
      </c>
    </row>
    <row r="325" spans="1:25" s="7" customFormat="1" ht="32.15" customHeight="1" x14ac:dyDescent="0.3">
      <c r="A325" s="122" t="s">
        <v>548</v>
      </c>
      <c r="B325" s="115" t="s">
        <v>913</v>
      </c>
      <c r="C325" s="115" t="s">
        <v>32</v>
      </c>
      <c r="D325" s="76" t="s">
        <v>25</v>
      </c>
      <c r="E325" s="4" t="s">
        <v>19</v>
      </c>
      <c r="F325" s="4">
        <v>31551634</v>
      </c>
      <c r="G325" s="76" t="s">
        <v>624</v>
      </c>
      <c r="H325" s="83" t="s">
        <v>625</v>
      </c>
      <c r="I325" s="76" t="s">
        <v>366</v>
      </c>
      <c r="J325" s="85">
        <v>4</v>
      </c>
      <c r="K325" s="76">
        <v>2</v>
      </c>
      <c r="L325" s="85">
        <v>0</v>
      </c>
      <c r="M325" s="76">
        <v>0</v>
      </c>
      <c r="N325" s="79"/>
      <c r="O325" s="79"/>
      <c r="P325" s="85">
        <v>5</v>
      </c>
      <c r="Q325" s="76">
        <v>5</v>
      </c>
      <c r="R325" s="85">
        <v>3</v>
      </c>
      <c r="S325" s="76">
        <v>1</v>
      </c>
      <c r="T325" s="92">
        <f t="shared" si="20"/>
        <v>12</v>
      </c>
      <c r="U325" s="95">
        <f t="shared" si="21"/>
        <v>8</v>
      </c>
      <c r="V325" s="67">
        <f t="shared" si="23"/>
        <v>4</v>
      </c>
      <c r="W325" s="67" t="str">
        <f>IF(V325&gt;(MEDIAN(Scoring!V:V)+_xlfn.STDEV.P(Scoring!V:V)),"YES","")</f>
        <v>YES</v>
      </c>
      <c r="X325" s="67">
        <f>IF($W325="YES",VLOOKUP($A325,'Editors Rescore'!$A$2:$M$63,13,FALSE),"")</f>
        <v>8</v>
      </c>
      <c r="Y325" s="81">
        <f t="shared" si="22"/>
        <v>9.3333333333333339</v>
      </c>
    </row>
    <row r="326" spans="1:25" s="7" customFormat="1" ht="32.15" customHeight="1" x14ac:dyDescent="0.3">
      <c r="A326" s="114" t="s">
        <v>110</v>
      </c>
      <c r="B326" s="114" t="s">
        <v>111</v>
      </c>
      <c r="C326" s="114" t="s">
        <v>112</v>
      </c>
      <c r="D326" s="93" t="s">
        <v>17</v>
      </c>
      <c r="E326" s="93" t="s">
        <v>18</v>
      </c>
      <c r="F326" s="96">
        <v>31094119</v>
      </c>
      <c r="G326" s="97" t="s">
        <v>619</v>
      </c>
      <c r="H326" s="98" t="s">
        <v>620</v>
      </c>
      <c r="I326" s="97" t="s">
        <v>621</v>
      </c>
      <c r="J326" s="99"/>
      <c r="K326" s="99"/>
      <c r="L326" s="98">
        <v>2</v>
      </c>
      <c r="M326" s="97">
        <v>2</v>
      </c>
      <c r="N326" s="98">
        <v>3</v>
      </c>
      <c r="O326" s="97">
        <v>3</v>
      </c>
      <c r="P326" s="98">
        <v>3</v>
      </c>
      <c r="Q326" s="97">
        <v>3</v>
      </c>
      <c r="R326" s="98">
        <v>2</v>
      </c>
      <c r="S326" s="97">
        <v>0</v>
      </c>
      <c r="T326" s="92">
        <f t="shared" si="20"/>
        <v>10</v>
      </c>
      <c r="U326" s="95">
        <f t="shared" si="21"/>
        <v>8</v>
      </c>
      <c r="V326" s="67">
        <f t="shared" si="23"/>
        <v>2</v>
      </c>
      <c r="W326" s="67" t="str">
        <f>IF(V326&gt;(MEDIAN(Scoring!V:V)+_xlfn.STDEV.P(Scoring!V:V)),"YES","")</f>
        <v/>
      </c>
      <c r="X326" s="67" t="str">
        <f>IF($W326="YES",VLOOKUP($A326,'Editors Rescore'!$A$2:$M$63,13,FALSE),"")</f>
        <v/>
      </c>
      <c r="Y326" s="81">
        <f t="shared" si="22"/>
        <v>9</v>
      </c>
    </row>
    <row r="327" spans="1:25" s="7" customFormat="1" ht="32.15" customHeight="1" x14ac:dyDescent="0.3">
      <c r="A327" s="123" t="s">
        <v>47</v>
      </c>
      <c r="B327" s="128" t="s">
        <v>729</v>
      </c>
      <c r="C327" s="114" t="s">
        <v>41</v>
      </c>
      <c r="D327" s="103" t="s">
        <v>25</v>
      </c>
      <c r="E327" s="103" t="s">
        <v>19</v>
      </c>
      <c r="F327" s="103">
        <v>30958338</v>
      </c>
      <c r="G327" s="104" t="s">
        <v>128</v>
      </c>
      <c r="H327" s="105" t="s">
        <v>609</v>
      </c>
      <c r="I327" s="104" t="s">
        <v>610</v>
      </c>
      <c r="J327" s="105">
        <v>4</v>
      </c>
      <c r="K327" s="104">
        <v>5</v>
      </c>
      <c r="L327" s="105">
        <v>2</v>
      </c>
      <c r="M327" s="104">
        <v>3</v>
      </c>
      <c r="N327" s="106"/>
      <c r="O327" s="106"/>
      <c r="P327" s="105">
        <v>1</v>
      </c>
      <c r="Q327" s="104">
        <v>1</v>
      </c>
      <c r="R327" s="105">
        <v>2</v>
      </c>
      <c r="S327" s="104">
        <v>0</v>
      </c>
      <c r="T327" s="92">
        <f t="shared" si="20"/>
        <v>9</v>
      </c>
      <c r="U327" s="95">
        <f t="shared" si="21"/>
        <v>9</v>
      </c>
      <c r="V327" s="67">
        <f t="shared" si="23"/>
        <v>0</v>
      </c>
      <c r="W327" s="67" t="str">
        <f>IF(V327&gt;(MEDIAN(Scoring!V:V)+_xlfn.STDEV.P(Scoring!V:V)),"YES","")</f>
        <v/>
      </c>
      <c r="X327" s="67" t="str">
        <f>IF($W327="YES",VLOOKUP($A327,'Editors Rescore'!$A$2:$M$63,13,FALSE),"")</f>
        <v/>
      </c>
      <c r="Y327" s="81">
        <f t="shared" si="22"/>
        <v>9</v>
      </c>
    </row>
    <row r="328" spans="1:25" s="7" customFormat="1" ht="16" customHeight="1" x14ac:dyDescent="0.3">
      <c r="A328" s="131" t="s">
        <v>763</v>
      </c>
      <c r="B328" s="112" t="s">
        <v>764</v>
      </c>
      <c r="C328" s="112"/>
      <c r="D328" s="4" t="s">
        <v>29</v>
      </c>
      <c r="E328" s="4" t="s">
        <v>18</v>
      </c>
      <c r="F328" s="4"/>
      <c r="G328" s="76" t="s">
        <v>624</v>
      </c>
      <c r="H328" s="83" t="s">
        <v>366</v>
      </c>
      <c r="I328" s="76" t="s">
        <v>625</v>
      </c>
      <c r="J328" s="79"/>
      <c r="K328" s="79"/>
      <c r="L328" s="85">
        <v>2</v>
      </c>
      <c r="M328" s="76">
        <v>2</v>
      </c>
      <c r="N328" s="85">
        <v>1</v>
      </c>
      <c r="O328" s="76">
        <v>1</v>
      </c>
      <c r="P328" s="85">
        <v>2</v>
      </c>
      <c r="Q328" s="76">
        <v>3</v>
      </c>
      <c r="R328" s="85">
        <v>1</v>
      </c>
      <c r="S328" s="76">
        <v>4</v>
      </c>
      <c r="T328" s="92">
        <f t="shared" si="20"/>
        <v>6</v>
      </c>
      <c r="U328" s="95">
        <f t="shared" si="21"/>
        <v>10</v>
      </c>
      <c r="V328" s="67">
        <f t="shared" si="23"/>
        <v>4</v>
      </c>
      <c r="W328" s="67" t="str">
        <f>IF(V328&gt;(MEDIAN(Scoring!V:V)+_xlfn.STDEV.P(Scoring!V:V)),"YES","")</f>
        <v>YES</v>
      </c>
      <c r="X328" s="67">
        <f>IF($W328="YES",VLOOKUP($A328,'Editors Rescore'!$A$2:$M$63,13,FALSE),"")</f>
        <v>11</v>
      </c>
      <c r="Y328" s="81">
        <f t="shared" si="22"/>
        <v>9</v>
      </c>
    </row>
    <row r="329" spans="1:25" s="7" customFormat="1" ht="16" customHeight="1" x14ac:dyDescent="0.3">
      <c r="A329" s="122" t="s">
        <v>377</v>
      </c>
      <c r="B329" s="117" t="s">
        <v>833</v>
      </c>
      <c r="C329" s="117"/>
      <c r="D329" s="74" t="s">
        <v>29</v>
      </c>
      <c r="E329" s="4" t="s">
        <v>18</v>
      </c>
      <c r="F329" s="4"/>
      <c r="G329" s="4" t="s">
        <v>624</v>
      </c>
      <c r="H329" s="83" t="s">
        <v>625</v>
      </c>
      <c r="I329" s="4" t="s">
        <v>366</v>
      </c>
      <c r="J329" s="11"/>
      <c r="K329" s="11"/>
      <c r="L329" s="85">
        <v>3</v>
      </c>
      <c r="M329" s="4">
        <v>1</v>
      </c>
      <c r="N329" s="85">
        <v>3</v>
      </c>
      <c r="O329" s="4">
        <v>1</v>
      </c>
      <c r="P329" s="85">
        <v>1</v>
      </c>
      <c r="Q329" s="4">
        <v>2</v>
      </c>
      <c r="R329" s="85">
        <v>4</v>
      </c>
      <c r="S329" s="4">
        <v>1</v>
      </c>
      <c r="T329" s="92">
        <f t="shared" si="20"/>
        <v>11</v>
      </c>
      <c r="U329" s="95">
        <f t="shared" si="21"/>
        <v>5</v>
      </c>
      <c r="V329" s="67">
        <f t="shared" si="23"/>
        <v>6</v>
      </c>
      <c r="W329" s="67" t="str">
        <f>IF(V329&gt;(MEDIAN(Scoring!V:V)+_xlfn.STDEV.P(Scoring!V:V)),"YES","")</f>
        <v>YES</v>
      </c>
      <c r="X329" s="67">
        <f>IF($W329="YES",VLOOKUP($A329,'Editors Rescore'!$A$2:$M$63,13,FALSE),"")</f>
        <v>11</v>
      </c>
      <c r="Y329" s="81">
        <f t="shared" si="22"/>
        <v>9</v>
      </c>
    </row>
    <row r="330" spans="1:25" s="7" customFormat="1" ht="32.15" customHeight="1" x14ac:dyDescent="0.3">
      <c r="A330" s="122" t="s">
        <v>849</v>
      </c>
      <c r="B330" s="112" t="s">
        <v>850</v>
      </c>
      <c r="C330" s="112" t="s">
        <v>374</v>
      </c>
      <c r="D330" s="4" t="s">
        <v>29</v>
      </c>
      <c r="E330" s="4" t="s">
        <v>19</v>
      </c>
      <c r="F330" s="4">
        <v>30431424</v>
      </c>
      <c r="G330" s="76" t="s">
        <v>624</v>
      </c>
      <c r="H330" s="83" t="s">
        <v>625</v>
      </c>
      <c r="I330" s="76" t="s">
        <v>366</v>
      </c>
      <c r="J330" s="85">
        <v>5</v>
      </c>
      <c r="K330" s="76">
        <v>5</v>
      </c>
      <c r="L330" s="85">
        <v>0</v>
      </c>
      <c r="M330" s="76">
        <v>0</v>
      </c>
      <c r="N330" s="79"/>
      <c r="O330" s="79"/>
      <c r="P330" s="85">
        <v>3</v>
      </c>
      <c r="Q330" s="76">
        <v>2</v>
      </c>
      <c r="R330" s="85">
        <v>2</v>
      </c>
      <c r="S330" s="76">
        <v>1</v>
      </c>
      <c r="T330" s="92">
        <f t="shared" si="20"/>
        <v>10</v>
      </c>
      <c r="U330" s="95">
        <f t="shared" si="21"/>
        <v>8</v>
      </c>
      <c r="V330" s="67">
        <f t="shared" si="23"/>
        <v>2</v>
      </c>
      <c r="W330" s="67" t="str">
        <f>IF(V330&gt;(MEDIAN(Scoring!V:V)+_xlfn.STDEV.P(Scoring!V:V)),"YES","")</f>
        <v/>
      </c>
      <c r="X330" s="67" t="str">
        <f>IF($W330="YES",VLOOKUP($A330,'Editors Rescore'!$A$2:$M$63,13,FALSE),"")</f>
        <v/>
      </c>
      <c r="Y330" s="81">
        <f t="shared" si="22"/>
        <v>9</v>
      </c>
    </row>
    <row r="331" spans="1:25" s="7" customFormat="1" ht="16" customHeight="1" x14ac:dyDescent="0.3">
      <c r="A331" s="122" t="s">
        <v>897</v>
      </c>
      <c r="B331" s="112" t="s">
        <v>898</v>
      </c>
      <c r="C331" s="112" t="s">
        <v>77</v>
      </c>
      <c r="D331" s="4" t="s">
        <v>25</v>
      </c>
      <c r="E331" s="4" t="s">
        <v>18</v>
      </c>
      <c r="F331" s="8">
        <v>31738717</v>
      </c>
      <c r="G331" s="4" t="s">
        <v>20</v>
      </c>
      <c r="H331" s="5" t="s">
        <v>606</v>
      </c>
      <c r="I331" s="4" t="s">
        <v>21</v>
      </c>
      <c r="J331" s="11"/>
      <c r="K331" s="11"/>
      <c r="L331" s="6">
        <v>3</v>
      </c>
      <c r="M331" s="4">
        <v>3</v>
      </c>
      <c r="N331" s="6">
        <v>0</v>
      </c>
      <c r="O331" s="4">
        <v>1</v>
      </c>
      <c r="P331" s="6">
        <v>3</v>
      </c>
      <c r="Q331" s="4">
        <v>4</v>
      </c>
      <c r="R331" s="6">
        <v>3</v>
      </c>
      <c r="S331" s="4">
        <v>1</v>
      </c>
      <c r="T331" s="92">
        <f t="shared" si="20"/>
        <v>9</v>
      </c>
      <c r="U331" s="95">
        <f t="shared" si="21"/>
        <v>9</v>
      </c>
      <c r="V331" s="67">
        <f t="shared" si="23"/>
        <v>0</v>
      </c>
      <c r="W331" s="67" t="str">
        <f>IF(V331&gt;(MEDIAN(Scoring!V:V)+_xlfn.STDEV.P(Scoring!V:V)),"YES","")</f>
        <v/>
      </c>
      <c r="X331" s="67" t="str">
        <f>IF($W331="YES",VLOOKUP($A331,'Editors Rescore'!$A$2:$M$63,13,FALSE),"")</f>
        <v/>
      </c>
      <c r="Y331" s="81">
        <f t="shared" si="22"/>
        <v>9</v>
      </c>
    </row>
    <row r="332" spans="1:25" s="7" customFormat="1" ht="16" customHeight="1" x14ac:dyDescent="0.3">
      <c r="A332" s="114" t="s">
        <v>230</v>
      </c>
      <c r="B332" s="113" t="s">
        <v>231</v>
      </c>
      <c r="C332" s="113" t="s">
        <v>232</v>
      </c>
      <c r="D332" s="97" t="s">
        <v>25</v>
      </c>
      <c r="E332" s="93" t="s">
        <v>18</v>
      </c>
      <c r="F332" s="96">
        <v>30815281</v>
      </c>
      <c r="G332" s="93" t="s">
        <v>616</v>
      </c>
      <c r="H332" s="98" t="s">
        <v>617</v>
      </c>
      <c r="I332" s="93" t="s">
        <v>618</v>
      </c>
      <c r="J332" s="94"/>
      <c r="K332" s="94"/>
      <c r="L332" s="98">
        <v>1</v>
      </c>
      <c r="M332" s="93">
        <v>1</v>
      </c>
      <c r="N332" s="98">
        <v>1</v>
      </c>
      <c r="O332" s="93">
        <v>1</v>
      </c>
      <c r="P332" s="98">
        <v>5</v>
      </c>
      <c r="Q332" s="93">
        <v>3</v>
      </c>
      <c r="R332" s="98">
        <v>3</v>
      </c>
      <c r="S332" s="93">
        <v>1</v>
      </c>
      <c r="T332" s="92">
        <f t="shared" si="20"/>
        <v>10</v>
      </c>
      <c r="U332" s="95">
        <f t="shared" si="21"/>
        <v>6</v>
      </c>
      <c r="V332" s="67">
        <f t="shared" si="23"/>
        <v>4</v>
      </c>
      <c r="W332" s="67" t="str">
        <f>IF(V332&gt;(MEDIAN(Scoring!V:V)+_xlfn.STDEV.P(Scoring!V:V)),"YES","")</f>
        <v>YES</v>
      </c>
      <c r="X332" s="67">
        <f>IF($W332="YES",VLOOKUP($A332,'Editors Rescore'!$A$2:$M$63,13,FALSE),"")</f>
        <v>11</v>
      </c>
      <c r="Y332" s="81">
        <f t="shared" si="22"/>
        <v>9</v>
      </c>
    </row>
    <row r="333" spans="1:25" s="7" customFormat="1" ht="16" customHeight="1" x14ac:dyDescent="0.3">
      <c r="A333" s="122" t="s">
        <v>578</v>
      </c>
      <c r="B333" s="112" t="s">
        <v>649</v>
      </c>
      <c r="C333" s="112" t="s">
        <v>67</v>
      </c>
      <c r="D333" s="4" t="s">
        <v>29</v>
      </c>
      <c r="E333" s="4" t="s">
        <v>19</v>
      </c>
      <c r="F333" s="4">
        <v>31615589</v>
      </c>
      <c r="G333" s="4" t="s">
        <v>616</v>
      </c>
      <c r="H333" s="83" t="s">
        <v>617</v>
      </c>
      <c r="I333" s="4" t="s">
        <v>618</v>
      </c>
      <c r="J333" s="5">
        <v>5</v>
      </c>
      <c r="K333" s="4">
        <v>3</v>
      </c>
      <c r="L333" s="83">
        <v>1</v>
      </c>
      <c r="M333" s="4">
        <v>1</v>
      </c>
      <c r="N333" s="79"/>
      <c r="O333" s="11"/>
      <c r="P333" s="83">
        <v>2</v>
      </c>
      <c r="Q333" s="4">
        <v>3</v>
      </c>
      <c r="R333" s="83">
        <v>1</v>
      </c>
      <c r="S333" s="4">
        <v>1</v>
      </c>
      <c r="T333" s="92">
        <f t="shared" si="20"/>
        <v>9</v>
      </c>
      <c r="U333" s="95">
        <f t="shared" si="21"/>
        <v>8</v>
      </c>
      <c r="V333" s="67">
        <f t="shared" si="23"/>
        <v>1</v>
      </c>
      <c r="W333" s="67" t="str">
        <f>IF(V333&gt;(MEDIAN(Scoring!V:V)+_xlfn.STDEV.P(Scoring!V:V)),"YES","")</f>
        <v/>
      </c>
      <c r="X333" s="67" t="str">
        <f>IF($W333="YES",VLOOKUP($A333,'Editors Rescore'!$A$2:$M$63,13,FALSE),"")</f>
        <v/>
      </c>
      <c r="Y333" s="81">
        <f t="shared" si="22"/>
        <v>8.5</v>
      </c>
    </row>
    <row r="334" spans="1:25" s="7" customFormat="1" ht="16" customHeight="1" x14ac:dyDescent="0.3">
      <c r="A334" s="122" t="s">
        <v>367</v>
      </c>
      <c r="B334" s="115" t="s">
        <v>658</v>
      </c>
      <c r="C334" s="115" t="s">
        <v>368</v>
      </c>
      <c r="D334" s="76" t="s">
        <v>29</v>
      </c>
      <c r="E334" s="4" t="s">
        <v>18</v>
      </c>
      <c r="F334" s="4">
        <v>31581162</v>
      </c>
      <c r="G334" s="4" t="s">
        <v>624</v>
      </c>
      <c r="H334" s="5" t="s">
        <v>366</v>
      </c>
      <c r="I334" s="4" t="s">
        <v>625</v>
      </c>
      <c r="J334" s="11"/>
      <c r="K334" s="11"/>
      <c r="L334" s="6">
        <v>1</v>
      </c>
      <c r="M334" s="4">
        <v>1</v>
      </c>
      <c r="N334" s="6">
        <v>1</v>
      </c>
      <c r="O334" s="4">
        <v>2</v>
      </c>
      <c r="P334" s="6">
        <v>2</v>
      </c>
      <c r="Q334" s="4">
        <v>4</v>
      </c>
      <c r="R334" s="6">
        <v>3</v>
      </c>
      <c r="S334" s="4">
        <v>3</v>
      </c>
      <c r="T334" s="92">
        <f t="shared" si="20"/>
        <v>7</v>
      </c>
      <c r="U334" s="95">
        <f t="shared" si="21"/>
        <v>10</v>
      </c>
      <c r="V334" s="67">
        <f t="shared" si="23"/>
        <v>3</v>
      </c>
      <c r="W334" s="67" t="str">
        <f>IF(V334&gt;(MEDIAN(Scoring!V:V)+_xlfn.STDEV.P(Scoring!V:V)),"YES","")</f>
        <v/>
      </c>
      <c r="X334" s="67" t="str">
        <f>IF($W334="YES",VLOOKUP($A334,'Editors Rescore'!$A$2:$M$63,13,FALSE),"")</f>
        <v/>
      </c>
      <c r="Y334" s="81">
        <f t="shared" si="22"/>
        <v>8.5</v>
      </c>
    </row>
    <row r="335" spans="1:25" s="7" customFormat="1" ht="16" customHeight="1" x14ac:dyDescent="0.3">
      <c r="A335" s="122" t="s">
        <v>441</v>
      </c>
      <c r="B335" s="112" t="s">
        <v>719</v>
      </c>
      <c r="C335" s="112" t="s">
        <v>720</v>
      </c>
      <c r="D335" s="4" t="s">
        <v>17</v>
      </c>
      <c r="E335" s="4" t="s">
        <v>18</v>
      </c>
      <c r="F335" s="4">
        <v>31151032</v>
      </c>
      <c r="G335" s="4" t="s">
        <v>619</v>
      </c>
      <c r="H335" s="83" t="s">
        <v>621</v>
      </c>
      <c r="I335" s="4" t="s">
        <v>620</v>
      </c>
      <c r="J335" s="11"/>
      <c r="K335" s="11"/>
      <c r="L335" s="85">
        <v>3</v>
      </c>
      <c r="M335" s="4">
        <v>3</v>
      </c>
      <c r="N335" s="85">
        <v>1</v>
      </c>
      <c r="O335" s="4">
        <v>1</v>
      </c>
      <c r="P335" s="85">
        <v>3</v>
      </c>
      <c r="Q335" s="4">
        <v>5</v>
      </c>
      <c r="R335" s="85">
        <v>0</v>
      </c>
      <c r="S335" s="4">
        <v>1</v>
      </c>
      <c r="T335" s="92">
        <f t="shared" si="20"/>
        <v>7</v>
      </c>
      <c r="U335" s="95">
        <f t="shared" si="21"/>
        <v>10</v>
      </c>
      <c r="V335" s="67">
        <f t="shared" si="23"/>
        <v>3</v>
      </c>
      <c r="W335" s="67" t="str">
        <f>IF(V335&gt;(MEDIAN(Scoring!V:V)+_xlfn.STDEV.P(Scoring!V:V)),"YES","")</f>
        <v/>
      </c>
      <c r="X335" s="67" t="str">
        <f>IF($W335="YES",VLOOKUP($A335,'Editors Rescore'!$A$2:$M$63,13,FALSE),"")</f>
        <v/>
      </c>
      <c r="Y335" s="81">
        <f t="shared" si="22"/>
        <v>8.5</v>
      </c>
    </row>
    <row r="336" spans="1:25" s="7" customFormat="1" ht="32.15" customHeight="1" x14ac:dyDescent="0.3">
      <c r="A336" s="122" t="s">
        <v>811</v>
      </c>
      <c r="B336" s="115" t="s">
        <v>812</v>
      </c>
      <c r="C336" s="115" t="s">
        <v>374</v>
      </c>
      <c r="D336" s="76" t="s">
        <v>17</v>
      </c>
      <c r="E336" s="4" t="s">
        <v>18</v>
      </c>
      <c r="F336" s="4">
        <v>31107222</v>
      </c>
      <c r="G336" s="76" t="s">
        <v>624</v>
      </c>
      <c r="H336" s="83" t="s">
        <v>366</v>
      </c>
      <c r="I336" s="76" t="s">
        <v>625</v>
      </c>
      <c r="J336" s="79"/>
      <c r="K336" s="79"/>
      <c r="L336" s="85">
        <v>4</v>
      </c>
      <c r="M336" s="76">
        <v>4</v>
      </c>
      <c r="N336" s="85">
        <v>1</v>
      </c>
      <c r="O336" s="76">
        <v>1</v>
      </c>
      <c r="P336" s="85">
        <v>2</v>
      </c>
      <c r="Q336" s="76">
        <v>2</v>
      </c>
      <c r="R336" s="85">
        <v>1</v>
      </c>
      <c r="S336" s="76">
        <v>2</v>
      </c>
      <c r="T336" s="92">
        <f t="shared" si="20"/>
        <v>8</v>
      </c>
      <c r="U336" s="95">
        <f t="shared" si="21"/>
        <v>9</v>
      </c>
      <c r="V336" s="67">
        <f t="shared" si="23"/>
        <v>1</v>
      </c>
      <c r="W336" s="67" t="str">
        <f>IF(V336&gt;(MEDIAN(Scoring!V:V)+_xlfn.STDEV.P(Scoring!V:V)),"YES","")</f>
        <v/>
      </c>
      <c r="X336" s="67" t="str">
        <f>IF($W336="YES",VLOOKUP($A336,'Editors Rescore'!$A$2:$M$63,13,FALSE),"")</f>
        <v/>
      </c>
      <c r="Y336" s="81">
        <f t="shared" si="22"/>
        <v>8.5</v>
      </c>
    </row>
    <row r="337" spans="1:25" s="7" customFormat="1" ht="32.15" customHeight="1" x14ac:dyDescent="0.3">
      <c r="A337" s="114" t="s">
        <v>82</v>
      </c>
      <c r="B337" s="114" t="s">
        <v>83</v>
      </c>
      <c r="C337" s="114" t="s">
        <v>52</v>
      </c>
      <c r="D337" s="93" t="s">
        <v>25</v>
      </c>
      <c r="E337" s="93" t="s">
        <v>18</v>
      </c>
      <c r="F337" s="96">
        <v>30970034</v>
      </c>
      <c r="G337" s="97" t="s">
        <v>20</v>
      </c>
      <c r="H337" s="98" t="s">
        <v>21</v>
      </c>
      <c r="I337" s="97" t="s">
        <v>606</v>
      </c>
      <c r="J337" s="99"/>
      <c r="K337" s="99"/>
      <c r="L337" s="98">
        <v>2</v>
      </c>
      <c r="M337" s="97">
        <v>4</v>
      </c>
      <c r="N337" s="98">
        <v>3</v>
      </c>
      <c r="O337" s="97">
        <v>4</v>
      </c>
      <c r="P337" s="98">
        <v>2</v>
      </c>
      <c r="Q337" s="97">
        <v>1</v>
      </c>
      <c r="R337" s="98">
        <v>0</v>
      </c>
      <c r="S337" s="97">
        <v>1</v>
      </c>
      <c r="T337" s="92">
        <f t="shared" si="20"/>
        <v>7</v>
      </c>
      <c r="U337" s="95">
        <f t="shared" si="21"/>
        <v>10</v>
      </c>
      <c r="V337" s="67">
        <f t="shared" si="23"/>
        <v>3</v>
      </c>
      <c r="W337" s="67" t="str">
        <f>IF(V337&gt;(MEDIAN(Scoring!V:V)+_xlfn.STDEV.P(Scoring!V:V)),"YES","")</f>
        <v/>
      </c>
      <c r="X337" s="67" t="str">
        <f>IF($W337="YES",VLOOKUP($A337,'Editors Rescore'!$A$2:$M$63,13,FALSE),"")</f>
        <v/>
      </c>
      <c r="Y337" s="81">
        <f t="shared" si="22"/>
        <v>8.5</v>
      </c>
    </row>
    <row r="338" spans="1:25" s="7" customFormat="1" ht="32.15" customHeight="1" x14ac:dyDescent="0.3">
      <c r="A338" s="112" t="s">
        <v>687</v>
      </c>
      <c r="B338" s="112" t="s">
        <v>689</v>
      </c>
      <c r="C338" s="112"/>
      <c r="D338" s="4" t="s">
        <v>29</v>
      </c>
      <c r="E338" s="4" t="s">
        <v>19</v>
      </c>
      <c r="F338" s="4"/>
      <c r="G338" s="4" t="s">
        <v>624</v>
      </c>
      <c r="H338" s="83" t="s">
        <v>366</v>
      </c>
      <c r="I338" s="4" t="s">
        <v>625</v>
      </c>
      <c r="J338" s="6">
        <v>5</v>
      </c>
      <c r="K338" s="4">
        <v>3</v>
      </c>
      <c r="L338" s="85">
        <v>0</v>
      </c>
      <c r="M338" s="4">
        <v>1</v>
      </c>
      <c r="N338" s="79"/>
      <c r="O338" s="11"/>
      <c r="P338" s="85">
        <v>4</v>
      </c>
      <c r="Q338" s="4">
        <v>3</v>
      </c>
      <c r="R338" s="85">
        <v>0</v>
      </c>
      <c r="S338" s="4">
        <v>0</v>
      </c>
      <c r="T338" s="92">
        <f t="shared" si="20"/>
        <v>9</v>
      </c>
      <c r="U338" s="95">
        <f t="shared" si="21"/>
        <v>7</v>
      </c>
      <c r="V338" s="67">
        <f t="shared" si="23"/>
        <v>2</v>
      </c>
      <c r="W338" s="67" t="str">
        <f>IF(V338&gt;(MEDIAN(Scoring!V:V)+_xlfn.STDEV.P(Scoring!V:V)),"YES","")</f>
        <v/>
      </c>
      <c r="X338" s="67" t="str">
        <f>IF($W338="YES",VLOOKUP($A338,'Editors Rescore'!$A$2:$M$63,13,FALSE),"")</f>
        <v/>
      </c>
      <c r="Y338" s="81">
        <f t="shared" si="22"/>
        <v>8</v>
      </c>
    </row>
    <row r="339" spans="1:25" s="7" customFormat="1" ht="16" customHeight="1" x14ac:dyDescent="0.3">
      <c r="A339" s="122" t="s">
        <v>793</v>
      </c>
      <c r="B339" s="117" t="s">
        <v>794</v>
      </c>
      <c r="C339" s="117" t="s">
        <v>375</v>
      </c>
      <c r="D339" s="74" t="s">
        <v>17</v>
      </c>
      <c r="E339" s="4" t="s">
        <v>18</v>
      </c>
      <c r="F339" s="4">
        <v>31321090</v>
      </c>
      <c r="G339" s="4" t="s">
        <v>624</v>
      </c>
      <c r="H339" s="83" t="s">
        <v>625</v>
      </c>
      <c r="I339" s="4" t="s">
        <v>366</v>
      </c>
      <c r="J339" s="11"/>
      <c r="K339" s="11"/>
      <c r="L339" s="85">
        <v>3</v>
      </c>
      <c r="M339" s="4">
        <v>2</v>
      </c>
      <c r="N339" s="85">
        <v>1</v>
      </c>
      <c r="O339" s="4">
        <v>1</v>
      </c>
      <c r="P339" s="85">
        <v>1</v>
      </c>
      <c r="Q339" s="4">
        <v>3</v>
      </c>
      <c r="R339" s="85">
        <v>3</v>
      </c>
      <c r="S339" s="4">
        <v>2</v>
      </c>
      <c r="T339" s="92">
        <f t="shared" si="20"/>
        <v>8</v>
      </c>
      <c r="U339" s="95">
        <f t="shared" si="21"/>
        <v>8</v>
      </c>
      <c r="V339" s="67">
        <f t="shared" si="23"/>
        <v>0</v>
      </c>
      <c r="W339" s="67" t="str">
        <f>IF(V339&gt;(MEDIAN(Scoring!V:V)+_xlfn.STDEV.P(Scoring!V:V)),"YES","")</f>
        <v/>
      </c>
      <c r="X339" s="67" t="str">
        <f>IF($W339="YES",VLOOKUP($A339,'Editors Rescore'!$A$2:$M$63,13,FALSE),"")</f>
        <v/>
      </c>
      <c r="Y339" s="81">
        <f t="shared" si="22"/>
        <v>8</v>
      </c>
    </row>
    <row r="340" spans="1:25" s="7" customFormat="1" ht="32.15" customHeight="1" x14ac:dyDescent="0.3">
      <c r="A340" s="122" t="s">
        <v>206</v>
      </c>
      <c r="B340" s="115" t="s">
        <v>742</v>
      </c>
      <c r="C340" s="120" t="s">
        <v>520</v>
      </c>
      <c r="D340" s="76" t="s">
        <v>17</v>
      </c>
      <c r="E340" s="4" t="s">
        <v>18</v>
      </c>
      <c r="F340" s="4">
        <v>31672511</v>
      </c>
      <c r="G340" s="76" t="s">
        <v>611</v>
      </c>
      <c r="H340" s="83" t="s">
        <v>615</v>
      </c>
      <c r="I340" s="76" t="s">
        <v>614</v>
      </c>
      <c r="J340" s="79"/>
      <c r="K340" s="79"/>
      <c r="L340" s="85">
        <v>2</v>
      </c>
      <c r="M340" s="76">
        <v>3</v>
      </c>
      <c r="N340" s="85">
        <v>4</v>
      </c>
      <c r="O340" s="76">
        <v>3</v>
      </c>
      <c r="P340" s="85">
        <v>0</v>
      </c>
      <c r="Q340" s="76">
        <v>1</v>
      </c>
      <c r="R340" s="85">
        <v>1</v>
      </c>
      <c r="S340" s="76">
        <v>2</v>
      </c>
      <c r="T340" s="92">
        <f t="shared" si="20"/>
        <v>7</v>
      </c>
      <c r="U340" s="95">
        <f t="shared" si="21"/>
        <v>9</v>
      </c>
      <c r="V340" s="67">
        <f t="shared" si="23"/>
        <v>2</v>
      </c>
      <c r="W340" s="67" t="str">
        <f>IF(V340&gt;(MEDIAN(Scoring!V:V)+_xlfn.STDEV.P(Scoring!V:V)),"YES","")</f>
        <v/>
      </c>
      <c r="X340" s="67" t="str">
        <f>IF($W340="YES",VLOOKUP($A340,'Editors Rescore'!$A$2:$M$63,13,FALSE),"")</f>
        <v/>
      </c>
      <c r="Y340" s="81">
        <f t="shared" si="22"/>
        <v>8</v>
      </c>
    </row>
    <row r="341" spans="1:25" s="7" customFormat="1" ht="16" customHeight="1" x14ac:dyDescent="0.3">
      <c r="A341" s="114" t="s">
        <v>22</v>
      </c>
      <c r="B341" s="147" t="s">
        <v>23</v>
      </c>
      <c r="C341" s="113" t="s">
        <v>24</v>
      </c>
      <c r="D341" s="97" t="s">
        <v>25</v>
      </c>
      <c r="E341" s="93" t="s">
        <v>18</v>
      </c>
      <c r="F341" s="96">
        <v>31528526</v>
      </c>
      <c r="G341" s="93" t="s">
        <v>20</v>
      </c>
      <c r="H341" s="98" t="s">
        <v>606</v>
      </c>
      <c r="I341" s="93" t="s">
        <v>21</v>
      </c>
      <c r="J341" s="94"/>
      <c r="K341" s="94"/>
      <c r="L341" s="98">
        <v>3</v>
      </c>
      <c r="M341" s="93">
        <v>2</v>
      </c>
      <c r="N341" s="98">
        <v>1</v>
      </c>
      <c r="O341" s="93">
        <v>2</v>
      </c>
      <c r="P341" s="98">
        <v>1</v>
      </c>
      <c r="Q341" s="93">
        <v>3</v>
      </c>
      <c r="R341" s="98">
        <v>3</v>
      </c>
      <c r="S341" s="93">
        <v>1</v>
      </c>
      <c r="T341" s="92">
        <f t="shared" si="20"/>
        <v>8</v>
      </c>
      <c r="U341" s="95">
        <f t="shared" si="21"/>
        <v>8</v>
      </c>
      <c r="V341" s="67">
        <f t="shared" si="23"/>
        <v>0</v>
      </c>
      <c r="W341" s="67" t="str">
        <f>IF(V341&gt;(MEDIAN(Scoring!V:V)+_xlfn.STDEV.P(Scoring!V:V)),"YES","")</f>
        <v/>
      </c>
      <c r="X341" s="67" t="str">
        <f>IF($W341="YES",VLOOKUP($A341,'Editors Rescore'!$A$2:$M$63,13,FALSE),"")</f>
        <v/>
      </c>
      <c r="Y341" s="81">
        <f t="shared" si="22"/>
        <v>8</v>
      </c>
    </row>
    <row r="342" spans="1:25" s="7" customFormat="1" ht="16" customHeight="1" x14ac:dyDescent="0.3">
      <c r="A342" s="122" t="s">
        <v>940</v>
      </c>
      <c r="B342" s="112" t="s">
        <v>487</v>
      </c>
      <c r="C342" s="112" t="s">
        <v>488</v>
      </c>
      <c r="D342" s="4" t="s">
        <v>489</v>
      </c>
      <c r="E342" s="4" t="s">
        <v>490</v>
      </c>
      <c r="F342" s="4">
        <v>31761697</v>
      </c>
      <c r="G342" s="4" t="s">
        <v>611</v>
      </c>
      <c r="H342" s="83" t="s">
        <v>612</v>
      </c>
      <c r="I342" s="4" t="s">
        <v>613</v>
      </c>
      <c r="J342" s="11"/>
      <c r="K342" s="11"/>
      <c r="L342" s="85">
        <v>4</v>
      </c>
      <c r="M342" s="4">
        <f>1+1+1</f>
        <v>3</v>
      </c>
      <c r="N342" s="85">
        <v>1</v>
      </c>
      <c r="O342" s="4">
        <f>(0+0+1)</f>
        <v>1</v>
      </c>
      <c r="P342" s="85">
        <v>4</v>
      </c>
      <c r="Q342" s="4">
        <f>(1+1+1)</f>
        <v>3</v>
      </c>
      <c r="R342" s="85">
        <v>0</v>
      </c>
      <c r="S342" s="4">
        <f>(0+0+0+0)</f>
        <v>0</v>
      </c>
      <c r="T342" s="92">
        <f t="shared" si="20"/>
        <v>9</v>
      </c>
      <c r="U342" s="95">
        <f t="shared" si="21"/>
        <v>7</v>
      </c>
      <c r="V342" s="67">
        <f t="shared" si="23"/>
        <v>2</v>
      </c>
      <c r="W342" s="67" t="str">
        <f>IF(V342&gt;(MEDIAN(Scoring!V:V)+_xlfn.STDEV.P(Scoring!V:V)),"YES","")</f>
        <v/>
      </c>
      <c r="X342" s="67" t="str">
        <f>IF($W342="YES",VLOOKUP($A342,'Editors Rescore'!$A$2:$M$63,13,FALSE),"")</f>
        <v/>
      </c>
      <c r="Y342" s="81">
        <f t="shared" si="22"/>
        <v>8</v>
      </c>
    </row>
    <row r="343" spans="1:25" s="7" customFormat="1" ht="16" customHeight="1" x14ac:dyDescent="0.3">
      <c r="A343" s="122" t="s">
        <v>484</v>
      </c>
      <c r="B343" s="115" t="s">
        <v>643</v>
      </c>
      <c r="C343" s="115" t="s">
        <v>43</v>
      </c>
      <c r="D343" s="76" t="s">
        <v>17</v>
      </c>
      <c r="E343" s="4" t="s">
        <v>18</v>
      </c>
      <c r="F343" s="4">
        <v>31676974</v>
      </c>
      <c r="G343" s="76" t="s">
        <v>616</v>
      </c>
      <c r="H343" s="83" t="s">
        <v>617</v>
      </c>
      <c r="I343" s="76" t="s">
        <v>618</v>
      </c>
      <c r="J343" s="79"/>
      <c r="K343" s="79"/>
      <c r="L343" s="85">
        <v>3</v>
      </c>
      <c r="M343" s="76">
        <v>4</v>
      </c>
      <c r="N343" s="85">
        <v>1</v>
      </c>
      <c r="O343" s="76">
        <v>1</v>
      </c>
      <c r="P343" s="85">
        <v>3</v>
      </c>
      <c r="Q343" s="76">
        <v>3</v>
      </c>
      <c r="R343" s="85">
        <v>0</v>
      </c>
      <c r="S343" s="76">
        <v>0</v>
      </c>
      <c r="T343" s="92">
        <f t="shared" si="20"/>
        <v>7</v>
      </c>
      <c r="U343" s="95">
        <f t="shared" si="21"/>
        <v>8</v>
      </c>
      <c r="V343" s="67">
        <f t="shared" si="23"/>
        <v>1</v>
      </c>
      <c r="W343" s="67" t="str">
        <f>IF(V343&gt;(MEDIAN(Scoring!V:V)+_xlfn.STDEV.P(Scoring!V:V)),"YES","")</f>
        <v/>
      </c>
      <c r="X343" s="67" t="str">
        <f>IF($W343="YES",VLOOKUP($A343,'Editors Rescore'!$A$2:$M$63,13,FALSE),"")</f>
        <v/>
      </c>
      <c r="Y343" s="81">
        <f t="shared" si="22"/>
        <v>7.5</v>
      </c>
    </row>
    <row r="344" spans="1:25" s="7" customFormat="1" ht="32.15" customHeight="1" x14ac:dyDescent="0.3">
      <c r="A344" s="112" t="s">
        <v>687</v>
      </c>
      <c r="B344" s="112" t="s">
        <v>688</v>
      </c>
      <c r="C344" s="112"/>
      <c r="D344" s="4" t="s">
        <v>29</v>
      </c>
      <c r="E344" s="4" t="s">
        <v>19</v>
      </c>
      <c r="F344" s="4"/>
      <c r="G344" s="4" t="s">
        <v>624</v>
      </c>
      <c r="H344" s="83" t="s">
        <v>366</v>
      </c>
      <c r="I344" s="4" t="s">
        <v>625</v>
      </c>
      <c r="J344" s="6">
        <v>4</v>
      </c>
      <c r="K344" s="4">
        <v>3</v>
      </c>
      <c r="L344" s="85">
        <v>0</v>
      </c>
      <c r="M344" s="4">
        <v>1</v>
      </c>
      <c r="N344" s="79"/>
      <c r="O344" s="11"/>
      <c r="P344" s="85">
        <v>4</v>
      </c>
      <c r="Q344" s="4">
        <v>3</v>
      </c>
      <c r="R344" s="85">
        <v>0</v>
      </c>
      <c r="S344" s="4">
        <v>0</v>
      </c>
      <c r="T344" s="92">
        <f t="shared" si="20"/>
        <v>8</v>
      </c>
      <c r="U344" s="95">
        <f t="shared" si="21"/>
        <v>7</v>
      </c>
      <c r="V344" s="67">
        <f t="shared" si="23"/>
        <v>1</v>
      </c>
      <c r="W344" s="67" t="str">
        <f>IF(V344&gt;(MEDIAN(Scoring!V:V)+_xlfn.STDEV.P(Scoring!V:V)),"YES","")</f>
        <v/>
      </c>
      <c r="X344" s="67" t="str">
        <f>IF($W344="YES",VLOOKUP($A344,'Editors Rescore'!$A$2:$M$63,13,FALSE),"")</f>
        <v/>
      </c>
      <c r="Y344" s="81">
        <f t="shared" si="22"/>
        <v>7.5</v>
      </c>
    </row>
    <row r="345" spans="1:25" s="7" customFormat="1" ht="16" customHeight="1" x14ac:dyDescent="0.3">
      <c r="A345" s="122" t="s">
        <v>516</v>
      </c>
      <c r="B345" s="112" t="s">
        <v>680</v>
      </c>
      <c r="C345" s="112" t="s">
        <v>517</v>
      </c>
      <c r="D345" s="4" t="s">
        <v>17</v>
      </c>
      <c r="E345" s="4" t="s">
        <v>18</v>
      </c>
      <c r="F345" s="4">
        <v>31719021</v>
      </c>
      <c r="G345" s="4" t="s">
        <v>611</v>
      </c>
      <c r="H345" s="9" t="s">
        <v>614</v>
      </c>
      <c r="I345" s="4" t="s">
        <v>615</v>
      </c>
      <c r="J345" s="11"/>
      <c r="K345" s="11"/>
      <c r="L345" s="9">
        <v>2</v>
      </c>
      <c r="M345" s="4">
        <v>2</v>
      </c>
      <c r="N345" s="9">
        <v>1</v>
      </c>
      <c r="O345" s="4">
        <v>1</v>
      </c>
      <c r="P345" s="9">
        <v>2</v>
      </c>
      <c r="Q345" s="4">
        <v>2</v>
      </c>
      <c r="R345" s="9">
        <v>3</v>
      </c>
      <c r="S345" s="4">
        <v>2</v>
      </c>
      <c r="T345" s="92">
        <f t="shared" si="20"/>
        <v>8</v>
      </c>
      <c r="U345" s="95">
        <f t="shared" si="21"/>
        <v>7</v>
      </c>
      <c r="V345" s="67">
        <f t="shared" si="23"/>
        <v>1</v>
      </c>
      <c r="W345" s="67" t="str">
        <f>IF(V345&gt;(MEDIAN(Scoring!V:V)+_xlfn.STDEV.P(Scoring!V:V)),"YES","")</f>
        <v/>
      </c>
      <c r="X345" s="67" t="str">
        <f>IF($W345="YES",VLOOKUP($A345,'Editors Rescore'!$A$2:$M$63,13,FALSE),"")</f>
        <v/>
      </c>
      <c r="Y345" s="81">
        <f t="shared" si="22"/>
        <v>7.5</v>
      </c>
    </row>
    <row r="346" spans="1:25" s="7" customFormat="1" ht="16" customHeight="1" x14ac:dyDescent="0.3">
      <c r="A346" s="123" t="s">
        <v>79</v>
      </c>
      <c r="B346" s="114" t="s">
        <v>80</v>
      </c>
      <c r="C346" s="114" t="s">
        <v>81</v>
      </c>
      <c r="D346" s="103" t="s">
        <v>29</v>
      </c>
      <c r="E346" s="103" t="s">
        <v>19</v>
      </c>
      <c r="F346" s="103">
        <v>31463332</v>
      </c>
      <c r="G346" s="103" t="s">
        <v>616</v>
      </c>
      <c r="H346" s="105" t="s">
        <v>617</v>
      </c>
      <c r="I346" s="103" t="s">
        <v>618</v>
      </c>
      <c r="J346" s="107">
        <v>4</v>
      </c>
      <c r="K346" s="103">
        <v>3</v>
      </c>
      <c r="L346" s="105">
        <v>1</v>
      </c>
      <c r="M346" s="103">
        <v>0</v>
      </c>
      <c r="N346" s="106"/>
      <c r="O346" s="108"/>
      <c r="P346" s="105">
        <v>2</v>
      </c>
      <c r="Q346" s="103">
        <v>3</v>
      </c>
      <c r="R346" s="105">
        <v>1</v>
      </c>
      <c r="S346" s="103">
        <v>1</v>
      </c>
      <c r="T346" s="92">
        <f t="shared" si="20"/>
        <v>8</v>
      </c>
      <c r="U346" s="95">
        <f t="shared" si="21"/>
        <v>7</v>
      </c>
      <c r="V346" s="67">
        <f t="shared" si="23"/>
        <v>1</v>
      </c>
      <c r="W346" s="67" t="str">
        <f>IF(V346&gt;(MEDIAN(Scoring!V:V)+_xlfn.STDEV.P(Scoring!V:V)),"YES","")</f>
        <v/>
      </c>
      <c r="X346" s="67" t="str">
        <f>IF($W346="YES",VLOOKUP($A346,'Editors Rescore'!$A$2:$M$63,13,FALSE),"")</f>
        <v/>
      </c>
      <c r="Y346" s="81">
        <f t="shared" si="22"/>
        <v>7.5</v>
      </c>
    </row>
    <row r="347" spans="1:25" s="7" customFormat="1" ht="32.15" customHeight="1" x14ac:dyDescent="0.3">
      <c r="A347" s="133" t="s">
        <v>773</v>
      </c>
      <c r="B347" s="134" t="s">
        <v>774</v>
      </c>
      <c r="C347" s="113" t="s">
        <v>233</v>
      </c>
      <c r="D347" s="97" t="s">
        <v>25</v>
      </c>
      <c r="E347" s="93" t="s">
        <v>18</v>
      </c>
      <c r="F347" s="96">
        <v>31004873</v>
      </c>
      <c r="G347" s="93" t="s">
        <v>616</v>
      </c>
      <c r="H347" s="98" t="s">
        <v>617</v>
      </c>
      <c r="I347" s="93" t="s">
        <v>618</v>
      </c>
      <c r="J347" s="94"/>
      <c r="K347" s="94"/>
      <c r="L347" s="98">
        <v>2</v>
      </c>
      <c r="M347" s="93">
        <v>1</v>
      </c>
      <c r="N347" s="98">
        <v>4</v>
      </c>
      <c r="O347" s="93">
        <v>1</v>
      </c>
      <c r="P347" s="98">
        <v>1</v>
      </c>
      <c r="Q347" s="93">
        <v>2</v>
      </c>
      <c r="R347" s="98">
        <v>2</v>
      </c>
      <c r="S347" s="93">
        <v>2</v>
      </c>
      <c r="T347" s="92">
        <f t="shared" si="20"/>
        <v>9</v>
      </c>
      <c r="U347" s="95">
        <f t="shared" si="21"/>
        <v>6</v>
      </c>
      <c r="V347" s="67">
        <f t="shared" si="23"/>
        <v>3</v>
      </c>
      <c r="W347" s="67" t="str">
        <f>IF(V347&gt;(MEDIAN(Scoring!V:V)+_xlfn.STDEV.P(Scoring!V:V)),"YES","")</f>
        <v/>
      </c>
      <c r="X347" s="67" t="str">
        <f>IF($W347="YES",VLOOKUP($A347,'Editors Rescore'!$A$2:$M$63,13,FALSE),"")</f>
        <v/>
      </c>
      <c r="Y347" s="81">
        <f t="shared" si="22"/>
        <v>7.5</v>
      </c>
    </row>
    <row r="348" spans="1:25" s="7" customFormat="1" ht="16" customHeight="1" x14ac:dyDescent="0.3">
      <c r="A348" s="122" t="s">
        <v>789</v>
      </c>
      <c r="B348" s="117" t="s">
        <v>788</v>
      </c>
      <c r="C348" s="117" t="s">
        <v>374</v>
      </c>
      <c r="D348" s="74" t="s">
        <v>25</v>
      </c>
      <c r="E348" s="4" t="s">
        <v>18</v>
      </c>
      <c r="F348" s="4">
        <v>31625845</v>
      </c>
      <c r="G348" s="4" t="s">
        <v>624</v>
      </c>
      <c r="H348" s="5" t="s">
        <v>625</v>
      </c>
      <c r="I348" s="4" t="s">
        <v>366</v>
      </c>
      <c r="J348" s="11"/>
      <c r="K348" s="11"/>
      <c r="L348" s="6">
        <v>3</v>
      </c>
      <c r="M348" s="4">
        <v>1</v>
      </c>
      <c r="N348" s="6">
        <v>0</v>
      </c>
      <c r="O348" s="4">
        <v>0</v>
      </c>
      <c r="P348" s="6">
        <v>3</v>
      </c>
      <c r="Q348" s="4">
        <v>4</v>
      </c>
      <c r="R348" s="6">
        <v>1</v>
      </c>
      <c r="S348" s="4">
        <v>3</v>
      </c>
      <c r="T348" s="92">
        <f t="shared" si="20"/>
        <v>7</v>
      </c>
      <c r="U348" s="95">
        <f t="shared" si="21"/>
        <v>8</v>
      </c>
      <c r="V348" s="67">
        <f t="shared" si="23"/>
        <v>1</v>
      </c>
      <c r="W348" s="67" t="str">
        <f>IF(V348&gt;(MEDIAN(Scoring!V:V)+_xlfn.STDEV.P(Scoring!V:V)),"YES","")</f>
        <v/>
      </c>
      <c r="X348" s="67" t="str">
        <f>IF($W348="YES",VLOOKUP($A348,'Editors Rescore'!$A$2:$M$63,13,FALSE),"")</f>
        <v/>
      </c>
      <c r="Y348" s="81">
        <f t="shared" si="22"/>
        <v>7.5</v>
      </c>
    </row>
    <row r="349" spans="1:25" s="7" customFormat="1" ht="16" customHeight="1" x14ac:dyDescent="0.3">
      <c r="A349" s="114" t="s">
        <v>75</v>
      </c>
      <c r="B349" s="144" t="s">
        <v>937</v>
      </c>
      <c r="C349" s="114" t="s">
        <v>33</v>
      </c>
      <c r="D349" s="93" t="s">
        <v>29</v>
      </c>
      <c r="E349" s="93" t="s">
        <v>18</v>
      </c>
      <c r="F349" s="96">
        <v>30846024</v>
      </c>
      <c r="G349" s="97" t="s">
        <v>20</v>
      </c>
      <c r="H349" s="98" t="s">
        <v>21</v>
      </c>
      <c r="I349" s="97" t="s">
        <v>606</v>
      </c>
      <c r="J349" s="99"/>
      <c r="K349" s="99"/>
      <c r="L349" s="98">
        <v>3</v>
      </c>
      <c r="M349" s="97">
        <v>3</v>
      </c>
      <c r="N349" s="98">
        <v>1</v>
      </c>
      <c r="O349" s="97">
        <v>2</v>
      </c>
      <c r="P349" s="98">
        <v>3</v>
      </c>
      <c r="Q349" s="97">
        <v>1</v>
      </c>
      <c r="R349" s="98">
        <v>1</v>
      </c>
      <c r="S349" s="97">
        <v>1</v>
      </c>
      <c r="T349" s="92">
        <f t="shared" si="20"/>
        <v>8</v>
      </c>
      <c r="U349" s="95">
        <f t="shared" si="21"/>
        <v>7</v>
      </c>
      <c r="V349" s="67">
        <f t="shared" si="23"/>
        <v>1</v>
      </c>
      <c r="W349" s="67" t="str">
        <f>IF(V349&gt;(MEDIAN(Scoring!V:V)+_xlfn.STDEV.P(Scoring!V:V)),"YES","")</f>
        <v/>
      </c>
      <c r="X349" s="67" t="str">
        <f>IF($W349="YES",VLOOKUP($A349,'Editors Rescore'!$A$2:$M$63,13,FALSE),"")</f>
        <v/>
      </c>
      <c r="Y349" s="81">
        <f t="shared" si="22"/>
        <v>7.5</v>
      </c>
    </row>
    <row r="350" spans="1:25" s="7" customFormat="1" ht="32.15" customHeight="1" x14ac:dyDescent="0.3">
      <c r="A350" s="114" t="s">
        <v>307</v>
      </c>
      <c r="B350" s="134" t="s">
        <v>820</v>
      </c>
      <c r="C350" s="113" t="s">
        <v>216</v>
      </c>
      <c r="D350" s="97" t="s">
        <v>29</v>
      </c>
      <c r="E350" s="93" t="s">
        <v>18</v>
      </c>
      <c r="F350" s="96">
        <v>31334212</v>
      </c>
      <c r="G350" s="97" t="s">
        <v>611</v>
      </c>
      <c r="H350" s="101" t="s">
        <v>612</v>
      </c>
      <c r="I350" s="97" t="s">
        <v>613</v>
      </c>
      <c r="J350" s="99"/>
      <c r="K350" s="99"/>
      <c r="L350" s="101">
        <v>1</v>
      </c>
      <c r="M350" s="97">
        <v>2</v>
      </c>
      <c r="N350" s="101">
        <v>3</v>
      </c>
      <c r="O350" s="97">
        <v>1</v>
      </c>
      <c r="P350" s="101">
        <v>2</v>
      </c>
      <c r="Q350" s="97">
        <v>1</v>
      </c>
      <c r="R350" s="101">
        <v>2</v>
      </c>
      <c r="S350" s="97">
        <v>0</v>
      </c>
      <c r="T350" s="92">
        <f t="shared" si="20"/>
        <v>8</v>
      </c>
      <c r="U350" s="95">
        <f t="shared" si="21"/>
        <v>4</v>
      </c>
      <c r="V350" s="67">
        <f t="shared" si="23"/>
        <v>4</v>
      </c>
      <c r="W350" s="67" t="str">
        <f>IF(V350&gt;(MEDIAN(Scoring!V:V)+_xlfn.STDEV.P(Scoring!V:V)),"YES","")</f>
        <v>YES</v>
      </c>
      <c r="X350" s="67">
        <f>IF($W350="YES",VLOOKUP($A350,'Editors Rescore'!$A$2:$M$63,13,FALSE),"")</f>
        <v>10</v>
      </c>
      <c r="Y350" s="81">
        <f t="shared" si="22"/>
        <v>7.333333333333333</v>
      </c>
    </row>
    <row r="351" spans="1:25" s="7" customFormat="1" ht="16" customHeight="1" x14ac:dyDescent="0.3">
      <c r="A351" s="122" t="s">
        <v>379</v>
      </c>
      <c r="B351" s="117" t="s">
        <v>851</v>
      </c>
      <c r="C351" s="117"/>
      <c r="D351" s="74" t="s">
        <v>29</v>
      </c>
      <c r="E351" s="4" t="s">
        <v>18</v>
      </c>
      <c r="F351" s="4"/>
      <c r="G351" s="4" t="s">
        <v>624</v>
      </c>
      <c r="H351" s="78" t="s">
        <v>625</v>
      </c>
      <c r="I351" s="4" t="s">
        <v>366</v>
      </c>
      <c r="J351" s="11"/>
      <c r="K351" s="11"/>
      <c r="L351" s="80">
        <v>2</v>
      </c>
      <c r="M351" s="4">
        <v>2</v>
      </c>
      <c r="N351" s="80">
        <v>1</v>
      </c>
      <c r="O351" s="4">
        <v>0</v>
      </c>
      <c r="P351" s="80">
        <v>2</v>
      </c>
      <c r="Q351" s="4">
        <v>2</v>
      </c>
      <c r="R351" s="80">
        <v>3</v>
      </c>
      <c r="S351" s="4">
        <v>2</v>
      </c>
      <c r="T351" s="92">
        <f t="shared" si="20"/>
        <v>8</v>
      </c>
      <c r="U351" s="95">
        <f t="shared" si="21"/>
        <v>6</v>
      </c>
      <c r="V351" s="67">
        <f t="shared" si="23"/>
        <v>2</v>
      </c>
      <c r="W351" s="67" t="str">
        <f>IF(V351&gt;(MEDIAN(Scoring!V:V)+_xlfn.STDEV.P(Scoring!V:V)),"YES","")</f>
        <v/>
      </c>
      <c r="X351" s="67" t="str">
        <f>IF($W351="YES",VLOOKUP($A351,'Editors Rescore'!$A$2:$M$63,13,FALSE),"")</f>
        <v/>
      </c>
      <c r="Y351" s="81">
        <f t="shared" si="22"/>
        <v>7</v>
      </c>
    </row>
    <row r="352" spans="1:25" s="7" customFormat="1" ht="16" customHeight="1" x14ac:dyDescent="0.3">
      <c r="A352" s="122" t="s">
        <v>838</v>
      </c>
      <c r="B352" s="117" t="s">
        <v>837</v>
      </c>
      <c r="C352" s="117"/>
      <c r="D352" s="74" t="s">
        <v>29</v>
      </c>
      <c r="E352" s="4" t="s">
        <v>18</v>
      </c>
      <c r="F352" s="4"/>
      <c r="G352" s="76" t="s">
        <v>624</v>
      </c>
      <c r="H352" s="78" t="s">
        <v>625</v>
      </c>
      <c r="I352" s="76" t="s">
        <v>366</v>
      </c>
      <c r="J352" s="79"/>
      <c r="K352" s="79"/>
      <c r="L352" s="80">
        <v>2</v>
      </c>
      <c r="M352" s="76">
        <v>1</v>
      </c>
      <c r="N352" s="80">
        <v>1</v>
      </c>
      <c r="O352" s="76">
        <v>0</v>
      </c>
      <c r="P352" s="80">
        <v>3</v>
      </c>
      <c r="Q352" s="76">
        <v>2</v>
      </c>
      <c r="R352" s="80">
        <v>3</v>
      </c>
      <c r="S352" s="76">
        <v>1</v>
      </c>
      <c r="T352" s="92">
        <f t="shared" si="20"/>
        <v>9</v>
      </c>
      <c r="U352" s="95">
        <f t="shared" si="21"/>
        <v>4</v>
      </c>
      <c r="V352" s="67">
        <f t="shared" si="23"/>
        <v>5</v>
      </c>
      <c r="W352" s="67" t="str">
        <f>IF(V352&gt;(MEDIAN(Scoring!V:V)+_xlfn.STDEV.P(Scoring!V:V)),"YES","")</f>
        <v>YES</v>
      </c>
      <c r="X352" s="67">
        <f>IF($W352="YES",VLOOKUP($A352,'Editors Rescore'!$A$2:$M$63,13,FALSE),"")</f>
        <v>7</v>
      </c>
      <c r="Y352" s="81">
        <f t="shared" si="22"/>
        <v>6.666666666666667</v>
      </c>
    </row>
    <row r="353" spans="1:25" s="7" customFormat="1" ht="32.15" customHeight="1" x14ac:dyDescent="0.3">
      <c r="A353" s="125" t="s">
        <v>784</v>
      </c>
      <c r="B353" s="133" t="s">
        <v>785</v>
      </c>
      <c r="C353" s="114" t="s">
        <v>85</v>
      </c>
      <c r="D353" s="103" t="s">
        <v>17</v>
      </c>
      <c r="E353" s="103" t="s">
        <v>19</v>
      </c>
      <c r="F353" s="103">
        <v>30830962</v>
      </c>
      <c r="G353" s="104" t="s">
        <v>616</v>
      </c>
      <c r="H353" s="159" t="s">
        <v>617</v>
      </c>
      <c r="I353" s="104" t="s">
        <v>618</v>
      </c>
      <c r="J353" s="105">
        <v>3</v>
      </c>
      <c r="K353" s="104">
        <v>2</v>
      </c>
      <c r="L353" s="159">
        <v>0</v>
      </c>
      <c r="M353" s="104">
        <v>0</v>
      </c>
      <c r="N353" s="161"/>
      <c r="O353" s="106"/>
      <c r="P353" s="159">
        <v>4</v>
      </c>
      <c r="Q353" s="104">
        <v>2</v>
      </c>
      <c r="R353" s="159">
        <v>1</v>
      </c>
      <c r="S353" s="104">
        <v>1</v>
      </c>
      <c r="T353" s="92">
        <f t="shared" si="20"/>
        <v>8</v>
      </c>
      <c r="U353" s="95">
        <f t="shared" si="21"/>
        <v>5</v>
      </c>
      <c r="V353" s="67">
        <f t="shared" si="23"/>
        <v>3</v>
      </c>
      <c r="W353" s="67" t="str">
        <f>IF(V353&gt;(MEDIAN(Scoring!V:V)+_xlfn.STDEV.P(Scoring!V:V)),"YES","")</f>
        <v/>
      </c>
      <c r="X353" s="67" t="str">
        <f>IF($W353="YES",VLOOKUP($A353,'Editors Rescore'!$A$2:$M$63,13,FALSE),"")</f>
        <v/>
      </c>
      <c r="Y353" s="81">
        <f t="shared" si="22"/>
        <v>6.5</v>
      </c>
    </row>
    <row r="354" spans="1:25" s="7" customFormat="1" ht="16" customHeight="1" x14ac:dyDescent="0.3">
      <c r="A354" s="122" t="s">
        <v>692</v>
      </c>
      <c r="B354" s="112" t="s">
        <v>691</v>
      </c>
      <c r="C354" s="112"/>
      <c r="D354" s="4" t="s">
        <v>29</v>
      </c>
      <c r="E354" s="4" t="s">
        <v>19</v>
      </c>
      <c r="F354" s="4"/>
      <c r="G354" s="76" t="s">
        <v>624</v>
      </c>
      <c r="H354" s="78" t="s">
        <v>366</v>
      </c>
      <c r="I354" s="76" t="s">
        <v>625</v>
      </c>
      <c r="J354" s="85">
        <v>2</v>
      </c>
      <c r="K354" s="76">
        <v>3</v>
      </c>
      <c r="L354" s="80">
        <v>0</v>
      </c>
      <c r="M354" s="76">
        <v>0</v>
      </c>
      <c r="N354" s="12"/>
      <c r="O354" s="79"/>
      <c r="P354" s="80">
        <v>4</v>
      </c>
      <c r="Q354" s="76">
        <v>2</v>
      </c>
      <c r="R354" s="80">
        <v>2</v>
      </c>
      <c r="S354" s="76">
        <v>0</v>
      </c>
      <c r="T354" s="92">
        <f t="shared" si="20"/>
        <v>8</v>
      </c>
      <c r="U354" s="95">
        <f t="shared" si="21"/>
        <v>5</v>
      </c>
      <c r="V354" s="67">
        <f t="shared" si="23"/>
        <v>3</v>
      </c>
      <c r="W354" s="67" t="str">
        <f>IF(V354&gt;(MEDIAN(Scoring!V:V)+_xlfn.STDEV.P(Scoring!V:V)),"YES","")</f>
        <v/>
      </c>
      <c r="X354" s="67" t="str">
        <f>IF($W354="YES",VLOOKUP($A354,'Editors Rescore'!$A$2:$M$63,13,FALSE),"")</f>
        <v/>
      </c>
      <c r="Y354" s="81">
        <f t="shared" si="22"/>
        <v>6.5</v>
      </c>
    </row>
    <row r="355" spans="1:25" s="7" customFormat="1" ht="16" customHeight="1" x14ac:dyDescent="0.3">
      <c r="A355" s="122" t="s">
        <v>573</v>
      </c>
      <c r="B355" s="112" t="s">
        <v>574</v>
      </c>
      <c r="C355" s="112" t="s">
        <v>138</v>
      </c>
      <c r="D355" s="4" t="s">
        <v>29</v>
      </c>
      <c r="E355" s="4" t="s">
        <v>19</v>
      </c>
      <c r="F355" s="4">
        <v>31908871</v>
      </c>
      <c r="G355" s="76" t="s">
        <v>616</v>
      </c>
      <c r="H355" s="78" t="s">
        <v>618</v>
      </c>
      <c r="I355" s="76" t="s">
        <v>617</v>
      </c>
      <c r="J355" s="83">
        <v>2</v>
      </c>
      <c r="K355" s="76">
        <v>4</v>
      </c>
      <c r="L355" s="78">
        <v>0</v>
      </c>
      <c r="M355" s="76">
        <v>0</v>
      </c>
      <c r="N355" s="12"/>
      <c r="O355" s="79"/>
      <c r="P355" s="78">
        <v>0</v>
      </c>
      <c r="Q355" s="76">
        <v>3</v>
      </c>
      <c r="R355" s="78">
        <v>1</v>
      </c>
      <c r="S355" s="76">
        <v>2</v>
      </c>
      <c r="T355" s="92">
        <f t="shared" si="20"/>
        <v>3</v>
      </c>
      <c r="U355" s="95">
        <f t="shared" si="21"/>
        <v>9</v>
      </c>
      <c r="V355" s="67">
        <f t="shared" si="23"/>
        <v>6</v>
      </c>
      <c r="W355" s="67" t="str">
        <f>IF(V355&gt;(MEDIAN(Scoring!V:V)+_xlfn.STDEV.P(Scoring!V:V)),"YES","")</f>
        <v>YES</v>
      </c>
      <c r="X355" s="67">
        <f>IF($W355="YES",VLOOKUP($A355,'Editors Rescore'!$A$2:$M$63,13,FALSE),"")</f>
        <v>7</v>
      </c>
      <c r="Y355" s="81">
        <f t="shared" si="22"/>
        <v>6.333333333333333</v>
      </c>
    </row>
    <row r="356" spans="1:25" s="7" customFormat="1" ht="32.15" customHeight="1" x14ac:dyDescent="0.3">
      <c r="A356" s="139" t="s">
        <v>865</v>
      </c>
      <c r="B356" s="137" t="s">
        <v>866</v>
      </c>
      <c r="C356" s="113" t="s">
        <v>84</v>
      </c>
      <c r="D356" s="104" t="s">
        <v>17</v>
      </c>
      <c r="E356" s="103" t="s">
        <v>19</v>
      </c>
      <c r="F356" s="103">
        <v>30791807</v>
      </c>
      <c r="G356" s="109" t="s">
        <v>616</v>
      </c>
      <c r="H356" s="159" t="s">
        <v>617</v>
      </c>
      <c r="I356" s="109" t="s">
        <v>618</v>
      </c>
      <c r="J356" s="159">
        <v>2</v>
      </c>
      <c r="K356" s="109">
        <v>2</v>
      </c>
      <c r="L356" s="159">
        <v>1</v>
      </c>
      <c r="M356" s="109">
        <v>0</v>
      </c>
      <c r="N356" s="161"/>
      <c r="O356" s="161"/>
      <c r="P356" s="159">
        <v>5</v>
      </c>
      <c r="Q356" s="109">
        <v>3</v>
      </c>
      <c r="R356" s="159">
        <v>1</v>
      </c>
      <c r="S356" s="109">
        <v>0</v>
      </c>
      <c r="T356" s="92">
        <f t="shared" si="20"/>
        <v>9</v>
      </c>
      <c r="U356" s="95">
        <f t="shared" si="21"/>
        <v>5</v>
      </c>
      <c r="V356" s="67">
        <f t="shared" si="23"/>
        <v>4</v>
      </c>
      <c r="W356" s="67" t="str">
        <f>IF(V356&gt;(MEDIAN(Scoring!V:V)+_xlfn.STDEV.P(Scoring!V:V)),"YES","")</f>
        <v>YES</v>
      </c>
      <c r="X356" s="67">
        <f>IF($W356="YES",VLOOKUP($A356,'Editors Rescore'!$A$2:$M$63,13,FALSE),"")</f>
        <v>5</v>
      </c>
      <c r="Y356" s="81">
        <f t="shared" si="22"/>
        <v>6.333333333333333</v>
      </c>
    </row>
    <row r="357" spans="1:25" s="7" customFormat="1" ht="32.15" customHeight="1" x14ac:dyDescent="0.3">
      <c r="A357" s="122" t="s">
        <v>572</v>
      </c>
      <c r="B357" s="112" t="s">
        <v>662</v>
      </c>
      <c r="C357" s="112" t="s">
        <v>33</v>
      </c>
      <c r="D357" s="4" t="s">
        <v>29</v>
      </c>
      <c r="E357" s="4" t="s">
        <v>19</v>
      </c>
      <c r="F357" s="4">
        <v>31631831</v>
      </c>
      <c r="G357" s="10" t="s">
        <v>616</v>
      </c>
      <c r="H357" s="78" t="s">
        <v>618</v>
      </c>
      <c r="I357" s="10" t="s">
        <v>617</v>
      </c>
      <c r="J357" s="78">
        <v>3</v>
      </c>
      <c r="K357" s="10">
        <v>3</v>
      </c>
      <c r="L357" s="78">
        <v>1</v>
      </c>
      <c r="M357" s="10">
        <v>0</v>
      </c>
      <c r="N357" s="12"/>
      <c r="O357" s="12"/>
      <c r="P357" s="78">
        <v>2</v>
      </c>
      <c r="Q357" s="10">
        <v>3</v>
      </c>
      <c r="R357" s="78">
        <v>0</v>
      </c>
      <c r="S357" s="10">
        <v>0</v>
      </c>
      <c r="T357" s="92">
        <f t="shared" si="20"/>
        <v>6</v>
      </c>
      <c r="U357" s="95">
        <f t="shared" si="21"/>
        <v>6</v>
      </c>
      <c r="V357" s="67">
        <f t="shared" si="23"/>
        <v>0</v>
      </c>
      <c r="W357" s="67" t="str">
        <f>IF(V357&gt;(MEDIAN(Scoring!V:V)+_xlfn.STDEV.P(Scoring!V:V)),"YES","")</f>
        <v/>
      </c>
      <c r="X357" s="67" t="str">
        <f>IF($W357="YES",VLOOKUP($A357,'Editors Rescore'!$A$2:$M$63,13,FALSE),"")</f>
        <v/>
      </c>
      <c r="Y357" s="81">
        <f t="shared" si="22"/>
        <v>6</v>
      </c>
    </row>
    <row r="358" spans="1:25" s="7" customFormat="1" ht="16" customHeight="1" x14ac:dyDescent="0.3">
      <c r="A358" s="136" t="s">
        <v>840</v>
      </c>
      <c r="B358" s="147" t="s">
        <v>841</v>
      </c>
      <c r="C358" s="113" t="s">
        <v>229</v>
      </c>
      <c r="D358" s="97" t="s">
        <v>17</v>
      </c>
      <c r="E358" s="93" t="s">
        <v>18</v>
      </c>
      <c r="F358" s="96">
        <v>31031071</v>
      </c>
      <c r="G358" s="100" t="s">
        <v>616</v>
      </c>
      <c r="H358" s="101" t="s">
        <v>617</v>
      </c>
      <c r="I358" s="100" t="s">
        <v>618</v>
      </c>
      <c r="J358" s="102"/>
      <c r="K358" s="102"/>
      <c r="L358" s="101">
        <v>2</v>
      </c>
      <c r="M358" s="100">
        <v>2</v>
      </c>
      <c r="N358" s="101">
        <v>1</v>
      </c>
      <c r="O358" s="100">
        <v>1</v>
      </c>
      <c r="P358" s="101">
        <v>1</v>
      </c>
      <c r="Q358" s="100">
        <v>1</v>
      </c>
      <c r="R358" s="101">
        <v>2</v>
      </c>
      <c r="S358" s="100">
        <v>2</v>
      </c>
      <c r="T358" s="92">
        <f t="shared" si="20"/>
        <v>6</v>
      </c>
      <c r="U358" s="95">
        <f t="shared" si="21"/>
        <v>6</v>
      </c>
      <c r="V358" s="67">
        <f t="shared" si="23"/>
        <v>0</v>
      </c>
      <c r="W358" s="67" t="str">
        <f>IF(V358&gt;(MEDIAN(Scoring!V:V)+_xlfn.STDEV.P(Scoring!V:V)),"YES","")</f>
        <v/>
      </c>
      <c r="X358" s="67" t="str">
        <f>IF($W358="YES",VLOOKUP($A358,'Editors Rescore'!$A$2:$M$63,13,FALSE),"")</f>
        <v/>
      </c>
      <c r="Y358" s="81">
        <f t="shared" si="22"/>
        <v>6</v>
      </c>
    </row>
  </sheetData>
  <sortState xmlns:xlrd2="http://schemas.microsoft.com/office/spreadsheetml/2017/richdata2" ref="A3:Y358">
    <sortCondition descending="1" ref="Y2"/>
  </sortState>
  <hyperlinks>
    <hyperlink ref="B63" r:id="rId1" display="https://www.ncbi.nlm.nih.gov/pubmed/31642421" xr:uid="{02057E3D-8A03-41EA-A0A7-A77101032A7C}"/>
    <hyperlink ref="B220" r:id="rId2" display="https://www.ncbi.nlm.nih.gov/pubmed/31817489" xr:uid="{4A34AFCD-44BE-4A96-9E39-AC42D96AC6B7}"/>
    <hyperlink ref="B272" r:id="rId3" display="https://www.ncbi.nlm.nih.gov/pubmed/31741306" xr:uid="{09B63C44-D77F-4673-8167-74F41A1FC007}"/>
    <hyperlink ref="B243" r:id="rId4" display="https://www.ncbi.nlm.nih.gov/pubmed/31832015" xr:uid="{1C8E359D-720F-4D5B-8046-B8BEF782E79D}"/>
    <hyperlink ref="A140" r:id="rId5" display="https://www.ncbi.nlm.nih.gov/pubmed/?term=Changalucha%20J%5BAuthor%5D&amp;cauthor=true&amp;cauthor_uid=30309746" xr:uid="{00154840-E2CC-4E27-9EAA-9FA2D9DB8738}"/>
    <hyperlink ref="A127" r:id="rId6" display="https://www.ncbi.nlm.nih.gov/pubmed/?term=Rizka%20A%5BAuthor%5D&amp;cauthor=true&amp;cauthor_uid=31755195" xr:uid="{F3D929AB-C157-4D7B-9CFE-F005A373256C}"/>
    <hyperlink ref="C127" r:id="rId7" tooltip="Geriatrics &amp; gerontology international." display="https://www.ncbi.nlm.nih.gov/pubmed" xr:uid="{17630DCA-27F9-4AC0-A4D0-D766B2912402}"/>
    <hyperlink ref="C173" r:id="rId8" tooltip="Translational psychiatry." display="https://www.ncbi.nlm.nih.gov/pubmed" xr:uid="{C3787EF9-5F56-44DD-B900-089195A678A3}"/>
    <hyperlink ref="A173" r:id="rId9" display="https://www.ncbi.nlm.nih.gov/pubmed/?term=Tay%20AK%5BAuthor%5D&amp;cauthor=true&amp;cauthor_uid=31477686" xr:uid="{CE69DF42-94E5-4E4C-A52D-8D45388DD50A}"/>
    <hyperlink ref="C24" r:id="rId10" tooltip="Tropical medicine and health." display="https://www.ncbi.nlm.nih.gov/pubmed" xr:uid="{800BC704-6887-40C1-963A-33ABD1346721}"/>
    <hyperlink ref="A24" r:id="rId11" display="https://www.ncbi.nlm.nih.gov/pubmed/?term=Edward%20U%5BAuthor%5D&amp;cauthor=true&amp;cauthor_uid=31889889" xr:uid="{758D8947-A934-42D7-839C-885BAB8B624E}"/>
    <hyperlink ref="C35" r:id="rId12" tooltip="Pediatric emergency care." display="https://www.ncbi.nlm.nih.gov/pubmed" xr:uid="{54DB9D85-6183-4EB2-B4AF-23ED6DCEABC6}"/>
    <hyperlink ref="A35" r:id="rId13" display="https://www.ncbi.nlm.nih.gov/pubmed/?term=Zubairi%20H%5BAuthor%5D&amp;cauthor=true&amp;cauthor_uid=28678057" xr:uid="{2E757FAA-48F7-469E-A0D8-67CA9A4DF6A7}"/>
  </hyperlinks>
  <pageMargins left="0.7" right="0.7" top="0.75" bottom="0.75" header="0.3" footer="0.3"/>
  <pageSetup orientation="portrait"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6CD25-6064-4C03-A967-FD50FC34F49E}">
  <dimension ref="A1:M63"/>
  <sheetViews>
    <sheetView zoomScale="80" zoomScaleNormal="80" workbookViewId="0">
      <pane xSplit="1" ySplit="1" topLeftCell="B2" activePane="bottomRight" state="frozen"/>
      <selection pane="topRight" activeCell="B1" sqref="B1"/>
      <selection pane="bottomLeft" activeCell="A2" sqref="A2"/>
      <selection pane="bottomRight"/>
    </sheetView>
  </sheetViews>
  <sheetFormatPr defaultColWidth="9.1796875" defaultRowHeight="14" x14ac:dyDescent="0.3"/>
  <cols>
    <col min="1" max="1" width="50.7265625" style="14" customWidth="1"/>
    <col min="2" max="2" width="100.7265625" style="14" customWidth="1"/>
    <col min="3" max="3" width="43.7265625" style="14" customWidth="1"/>
    <col min="4" max="4" width="12" style="40" customWidth="1"/>
    <col min="5" max="5" width="12.1796875" style="40" customWidth="1"/>
    <col min="6" max="6" width="12.7265625" style="40" customWidth="1"/>
    <col min="7" max="8" width="9.1796875" style="40"/>
    <col min="9" max="9" width="9.1796875" style="42"/>
    <col min="10" max="10" width="9.1796875" style="40"/>
    <col min="11" max="11" width="9.1796875" style="42"/>
    <col min="12" max="12" width="9.1796875" style="40"/>
    <col min="13" max="13" width="9.1796875" style="42"/>
    <col min="14" max="16384" width="9.1796875" style="14"/>
  </cols>
  <sheetData>
    <row r="1" spans="1:13" ht="84" x14ac:dyDescent="0.3">
      <c r="A1" s="13" t="s">
        <v>0</v>
      </c>
      <c r="B1" s="13" t="s">
        <v>1</v>
      </c>
      <c r="C1" s="13" t="s">
        <v>2</v>
      </c>
      <c r="D1" s="36" t="s">
        <v>3</v>
      </c>
      <c r="E1" s="36" t="s">
        <v>4</v>
      </c>
      <c r="F1" s="37" t="s">
        <v>5</v>
      </c>
      <c r="G1" s="36" t="s">
        <v>6</v>
      </c>
      <c r="H1" s="38" t="s">
        <v>594</v>
      </c>
      <c r="I1" s="39" t="s">
        <v>595</v>
      </c>
      <c r="J1" s="38" t="s">
        <v>596</v>
      </c>
      <c r="K1" s="39" t="s">
        <v>597</v>
      </c>
      <c r="L1" s="38" t="s">
        <v>598</v>
      </c>
      <c r="M1" s="39" t="s">
        <v>599</v>
      </c>
    </row>
    <row r="2" spans="1:13" x14ac:dyDescent="0.3">
      <c r="A2" s="14" t="s">
        <v>439</v>
      </c>
      <c r="B2" s="14" t="str">
        <f>VLOOKUP($A2,Scoring!$A$3:$G$358,2,FALSE)</f>
        <v>Severe childhood anemia and emergency blood transfusion in Gadarif Hospital, Eastern Sudan</v>
      </c>
      <c r="C2" s="14" t="str">
        <f>VLOOKUP($A2,Scoring!$A$3:$G$358,3,FALSE)</f>
        <v>PLoS One</v>
      </c>
      <c r="D2" s="40" t="str">
        <f>VLOOKUP($A2,Scoring!$A$3:$G$358,4,FALSE)</f>
        <v>ECRLS</v>
      </c>
      <c r="E2" s="40" t="str">
        <f>VLOOKUP($A2,Scoring!$A$3:$G$358,5,FALSE)</f>
        <v>OR</v>
      </c>
      <c r="F2" s="40">
        <f>VLOOKUP($A2,Scoring!$A$3:$G$358,6,FALSE)</f>
        <v>31794569</v>
      </c>
      <c r="G2" s="40" t="str">
        <f>VLOOKUP($A2,Scoring!$A$3:$G$358,7,FALSE)</f>
        <v>MMR</v>
      </c>
      <c r="H2" s="18"/>
      <c r="I2" s="42">
        <v>3</v>
      </c>
      <c r="J2" s="65">
        <v>4</v>
      </c>
      <c r="K2" s="42">
        <v>3</v>
      </c>
      <c r="L2" s="65">
        <v>4</v>
      </c>
      <c r="M2" s="42">
        <f t="shared" ref="M2:M33" si="0">SUM(H2:L2)</f>
        <v>14</v>
      </c>
    </row>
    <row r="3" spans="1:13" x14ac:dyDescent="0.3">
      <c r="A3" s="19" t="s">
        <v>263</v>
      </c>
      <c r="B3" s="14" t="str">
        <f>VLOOKUP($A3,Scoring!$A$3:$G$358,2,FALSE)</f>
        <v>Poor access to acute care resources to treat major trauma in low- and middle-income settings: A self-reported survey of acute care providers</v>
      </c>
      <c r="C3" s="14" t="str">
        <f>VLOOKUP($A3,Scoring!$A$3:$G$358,3,FALSE)</f>
        <v>Afr J Emerg Med</v>
      </c>
      <c r="D3" s="40" t="str">
        <f>VLOOKUP($A3,Scoring!$A$3:$G$358,4,FALSE)</f>
        <v>EMD</v>
      </c>
      <c r="E3" s="40" t="str">
        <f>VLOOKUP($A3,Scoring!$A$3:$G$358,5,FALSE)</f>
        <v>OR</v>
      </c>
      <c r="F3" s="40">
        <f>VLOOKUP($A3,Scoring!$A$3:$G$358,6,FALSE)</f>
        <v>30976499</v>
      </c>
      <c r="G3" s="40" t="str">
        <f>VLOOKUP($A3,Scoring!$A$3:$G$358,7,FALSE)</f>
        <v>AS</v>
      </c>
      <c r="H3" s="44"/>
      <c r="I3" s="45">
        <v>3</v>
      </c>
      <c r="J3" s="46">
        <v>3</v>
      </c>
      <c r="K3" s="45">
        <v>5</v>
      </c>
      <c r="L3" s="46">
        <v>0</v>
      </c>
      <c r="M3" s="42">
        <f t="shared" si="0"/>
        <v>11</v>
      </c>
    </row>
    <row r="4" spans="1:13" x14ac:dyDescent="0.3">
      <c r="A4" s="28" t="s">
        <v>530</v>
      </c>
      <c r="B4" s="14" t="str">
        <f>VLOOKUP($A4,Scoring!$A$3:$G$358,2,FALSE)</f>
        <v>A Basic Course in Humanitarian Health Emergency and Relief: A Pilot Study from Saudi Arabia.</v>
      </c>
      <c r="C4" s="14" t="str">
        <f>VLOOKUP($A4,Scoring!$A$3:$G$358,3,FALSE)</f>
        <v>Prehosp Disaster Med</v>
      </c>
      <c r="D4" s="40" t="str">
        <f>VLOOKUP($A4,Scoring!$A$3:$G$358,4,FALSE)</f>
        <v>EMD</v>
      </c>
      <c r="E4" s="40" t="str">
        <f>VLOOKUP($A4,Scoring!$A$3:$G$358,5,FALSE)</f>
        <v>OR</v>
      </c>
      <c r="F4" s="40">
        <f>VLOOKUP($A4,Scoring!$A$3:$G$358,6,FALSE)</f>
        <v>31615584</v>
      </c>
      <c r="G4" s="40" t="str">
        <f>VLOOKUP($A4,Scoring!$A$3:$G$358,7,FALSE)</f>
        <v>BJH</v>
      </c>
      <c r="H4" s="29"/>
      <c r="I4" s="35">
        <v>2</v>
      </c>
      <c r="J4" s="30">
        <v>4</v>
      </c>
      <c r="K4" s="35">
        <v>3</v>
      </c>
      <c r="L4" s="30">
        <v>2</v>
      </c>
      <c r="M4" s="42">
        <f t="shared" si="0"/>
        <v>11</v>
      </c>
    </row>
    <row r="5" spans="1:13" x14ac:dyDescent="0.3">
      <c r="A5" s="16" t="s">
        <v>412</v>
      </c>
      <c r="B5" s="14" t="str">
        <f>VLOOKUP($A5,Scoring!$A$3:$G$358,2,FALSE)</f>
        <v>Assessment of care provision for hypertension at the emergency department of an urban hospital in Mozambique</v>
      </c>
      <c r="C5" s="14" t="str">
        <f>VLOOKUP($A5,Scoring!$A$3:$G$358,3,FALSE)</f>
        <v>BMC Health Serv Res</v>
      </c>
      <c r="D5" s="40" t="str">
        <f>VLOOKUP($A5,Scoring!$A$3:$G$358,4,FALSE)</f>
        <v>ECRLS</v>
      </c>
      <c r="E5" s="40" t="str">
        <f>VLOOKUP($A5,Scoring!$A$3:$G$358,5,FALSE)</f>
        <v>OR</v>
      </c>
      <c r="F5" s="40">
        <f>VLOOKUP($A5,Scoring!$A$3:$G$358,6,FALSE)</f>
        <v>31852481</v>
      </c>
      <c r="G5" s="40" t="str">
        <f>VLOOKUP($A5,Scoring!$A$3:$G$358,7,FALSE)</f>
        <v>AS</v>
      </c>
      <c r="H5" s="18"/>
      <c r="I5" s="33">
        <v>4</v>
      </c>
      <c r="J5" s="17">
        <v>4</v>
      </c>
      <c r="K5" s="33">
        <v>3</v>
      </c>
      <c r="L5" s="17">
        <v>2</v>
      </c>
      <c r="M5" s="42">
        <f t="shared" si="0"/>
        <v>13</v>
      </c>
    </row>
    <row r="6" spans="1:13" x14ac:dyDescent="0.3">
      <c r="A6" s="14" t="s">
        <v>44</v>
      </c>
      <c r="B6" s="14" t="str">
        <f>VLOOKUP($A6,Scoring!$A$3:$G$358,2,FALSE)</f>
        <v>Triage systems in mass casualty incidents and disasters: A review study with a worldwide approach</v>
      </c>
      <c r="C6" s="14" t="str">
        <f>VLOOKUP($A6,Scoring!$A$3:$G$358,3,FALSE)</f>
        <v>Open Access Maced J Med Sci</v>
      </c>
      <c r="D6" s="40" t="str">
        <f>VLOOKUP($A6,Scoring!$A$3:$G$358,4,FALSE)</f>
        <v>DHR</v>
      </c>
      <c r="E6" s="40" t="str">
        <f>VLOOKUP($A6,Scoring!$A$3:$G$358,5,FALSE)</f>
        <v>RE</v>
      </c>
      <c r="F6" s="40">
        <f>VLOOKUP($A6,Scoring!$A$3:$G$358,6,FALSE)</f>
        <v>30834023</v>
      </c>
      <c r="G6" s="40" t="str">
        <f>VLOOKUP($A6,Scoring!$A$3:$G$358,7,FALSE)</f>
        <v>MMR</v>
      </c>
      <c r="H6" s="65">
        <v>5</v>
      </c>
      <c r="I6" s="42">
        <v>1</v>
      </c>
      <c r="J6" s="18"/>
      <c r="K6" s="42">
        <v>5</v>
      </c>
      <c r="L6" s="65">
        <v>3</v>
      </c>
      <c r="M6" s="42">
        <f t="shared" si="0"/>
        <v>14</v>
      </c>
    </row>
    <row r="7" spans="1:13" x14ac:dyDescent="0.3">
      <c r="A7" s="19" t="s">
        <v>250</v>
      </c>
      <c r="B7" s="14" t="str">
        <f>VLOOKUP($A7,Scoring!$A$3:$G$358,2,FALSE)</f>
        <v>The chracteristics of cervical spinal cord trauma at a North Tanzanian referral hospital: A retrospective hospital based study</v>
      </c>
      <c r="C7" s="14" t="str">
        <f>VLOOKUP($A7,Scoring!$A$3:$G$358,3,FALSE)</f>
        <v>Pan Afr Med J</v>
      </c>
      <c r="D7" s="40" t="str">
        <f>VLOOKUP($A7,Scoring!$A$3:$G$358,4,FALSE)</f>
        <v>ECRLS</v>
      </c>
      <c r="E7" s="40" t="str">
        <f>VLOOKUP($A7,Scoring!$A$3:$G$358,5,FALSE)</f>
        <v>OR</v>
      </c>
      <c r="F7" s="40">
        <f>VLOOKUP($A7,Scoring!$A$3:$G$358,6,FALSE)</f>
        <v>31448044</v>
      </c>
      <c r="G7" s="40" t="str">
        <f>VLOOKUP($A7,Scoring!$A$3:$G$358,7,FALSE)</f>
        <v>AS</v>
      </c>
      <c r="H7" s="44"/>
      <c r="I7" s="45">
        <v>3</v>
      </c>
      <c r="J7" s="46">
        <v>1</v>
      </c>
      <c r="K7" s="45">
        <v>3</v>
      </c>
      <c r="L7" s="46">
        <v>0</v>
      </c>
      <c r="M7" s="42">
        <f t="shared" si="0"/>
        <v>7</v>
      </c>
    </row>
    <row r="8" spans="1:13" x14ac:dyDescent="0.3">
      <c r="A8" s="15" t="s">
        <v>134</v>
      </c>
      <c r="B8" s="14" t="str">
        <f>VLOOKUP($A8,Scoring!$A$3:$G$358,2,FALSE)</f>
        <v>Diagnosis and management of acute heart failure in Sub-Saharan Africa</v>
      </c>
      <c r="C8" s="14" t="str">
        <f>VLOOKUP($A8,Scoring!$A$3:$G$358,3,FALSE)</f>
        <v>Curr Cardiol Rep</v>
      </c>
      <c r="D8" s="40" t="str">
        <f>VLOOKUP($A8,Scoring!$A$3:$G$358,4,FALSE)</f>
        <v>ECRLS</v>
      </c>
      <c r="E8" s="40" t="str">
        <f>VLOOKUP($A8,Scoring!$A$3:$G$358,5,FALSE)</f>
        <v>RE</v>
      </c>
      <c r="F8" s="40">
        <f>VLOOKUP($A8,Scoring!$A$3:$G$358,6,FALSE)</f>
        <v>31473827</v>
      </c>
      <c r="G8" s="40" t="str">
        <f>VLOOKUP($A8,Scoring!$A$3:$G$358,7,FALSE)</f>
        <v>AS</v>
      </c>
      <c r="H8" s="41">
        <v>5</v>
      </c>
      <c r="I8" s="42">
        <v>0</v>
      </c>
      <c r="J8" s="43"/>
      <c r="K8" s="42">
        <v>3</v>
      </c>
      <c r="L8" s="41">
        <v>0</v>
      </c>
      <c r="M8" s="42">
        <f t="shared" si="0"/>
        <v>8</v>
      </c>
    </row>
    <row r="9" spans="1:13" x14ac:dyDescent="0.3">
      <c r="A9" s="28" t="s">
        <v>532</v>
      </c>
      <c r="B9" s="14" t="str">
        <f>VLOOKUP($A9,Scoring!$A$3:$G$358,2,FALSE)</f>
        <v>Myocarditis prevalence in paediatric dengue infection: A prospective study in tertiary hospital in Yogyakarta, Indonesia</v>
      </c>
      <c r="C9" s="14" t="str">
        <f>VLOOKUP($A9,Scoring!$A$3:$G$358,3,FALSE)</f>
        <v>J Trop Pediatr</v>
      </c>
      <c r="D9" s="40" t="str">
        <f>VLOOKUP($A9,Scoring!$A$3:$G$358,4,FALSE)</f>
        <v>ECRLS</v>
      </c>
      <c r="E9" s="40" t="str">
        <f>VLOOKUP($A9,Scoring!$A$3:$G$358,5,FALSE)</f>
        <v>OR</v>
      </c>
      <c r="F9" s="40">
        <f>VLOOKUP($A9,Scoring!$A$3:$G$358,6,FALSE)</f>
        <v>31006000</v>
      </c>
      <c r="G9" s="40" t="str">
        <f>VLOOKUP($A9,Scoring!$A$3:$G$358,7,FALSE)</f>
        <v>BJH</v>
      </c>
      <c r="H9" s="29"/>
      <c r="I9" s="35">
        <v>4</v>
      </c>
      <c r="J9" s="30">
        <v>3</v>
      </c>
      <c r="K9" s="35">
        <v>5</v>
      </c>
      <c r="L9" s="30">
        <v>5</v>
      </c>
      <c r="M9" s="42">
        <f t="shared" si="0"/>
        <v>17</v>
      </c>
    </row>
    <row r="10" spans="1:13" x14ac:dyDescent="0.3">
      <c r="A10" s="31" t="s">
        <v>12</v>
      </c>
      <c r="B10" s="14" t="str">
        <f>VLOOKUP($A10,Scoring!$A$3:$G$358,2,FALSE)</f>
        <v>The effectiveness of ultrasound in the detection of fractures in adults with suspected upper or lower limb injury: A systematic review and subgroup meta-analysis</v>
      </c>
      <c r="C10" s="14" t="str">
        <f>VLOOKUP($A10,Scoring!$A$3:$G$358,3,FALSE)</f>
        <v>BMC Emerg Med</v>
      </c>
      <c r="D10" s="40" t="str">
        <f>VLOOKUP($A10,Scoring!$A$3:$G$358,4,FALSE)</f>
        <v>ECRLS</v>
      </c>
      <c r="E10" s="40" t="str">
        <f>VLOOKUP($A10,Scoring!$A$3:$G$358,5,FALSE)</f>
        <v>RE</v>
      </c>
      <c r="F10" s="40">
        <f>VLOOKUP($A10,Scoring!$A$3:$G$358,6,FALSE)</f>
        <v>30691395</v>
      </c>
      <c r="G10" s="40" t="str">
        <f>VLOOKUP($A10,Scoring!$A$3:$G$358,7,FALSE)</f>
        <v>JB</v>
      </c>
      <c r="H10" s="59">
        <v>5</v>
      </c>
      <c r="I10" s="60">
        <v>5</v>
      </c>
      <c r="J10" s="61"/>
      <c r="K10" s="60">
        <v>5</v>
      </c>
      <c r="L10" s="59">
        <v>5</v>
      </c>
      <c r="M10" s="42">
        <f t="shared" si="0"/>
        <v>20</v>
      </c>
    </row>
    <row r="11" spans="1:13" x14ac:dyDescent="0.3">
      <c r="A11" s="21" t="s">
        <v>675</v>
      </c>
      <c r="B11" s="14" t="str">
        <f>VLOOKUP($A11,Scoring!$A$3:$G$358,2,FALSE)</f>
        <v>Health records for migrants and refugees: A systematic review</v>
      </c>
      <c r="C11" s="14" t="str">
        <f>VLOOKUP($A11,Scoring!$A$3:$G$358,3,FALSE)</f>
        <v>Health Policy</v>
      </c>
      <c r="D11" s="40" t="str">
        <f>VLOOKUP($A11,Scoring!$A$3:$G$358,4,FALSE)</f>
        <v>DHR</v>
      </c>
      <c r="E11" s="40" t="str">
        <f>VLOOKUP($A11,Scoring!$A$3:$G$358,5,FALSE)</f>
        <v>RE</v>
      </c>
      <c r="F11" s="40">
        <f>VLOOKUP($A11,Scoring!$A$3:$G$358,6,FALSE)</f>
        <v>31439455</v>
      </c>
      <c r="G11" s="40" t="str">
        <f>VLOOKUP($A11,Scoring!$A$3:$G$358,7,FALSE)</f>
        <v>NSAQ</v>
      </c>
      <c r="H11" s="22">
        <v>4</v>
      </c>
      <c r="I11" s="34">
        <v>3</v>
      </c>
      <c r="J11" s="23"/>
      <c r="K11" s="34">
        <v>3</v>
      </c>
      <c r="L11" s="22">
        <v>5</v>
      </c>
      <c r="M11" s="42">
        <f t="shared" si="0"/>
        <v>15</v>
      </c>
    </row>
    <row r="12" spans="1:13" x14ac:dyDescent="0.3">
      <c r="A12" s="32" t="s">
        <v>34</v>
      </c>
      <c r="B12" s="14" t="str">
        <f>VLOOKUP($A12,Scoring!$A$3:$G$358,2,FALSE)</f>
        <v>The burden of femoral shaft fractures in Tanzania</v>
      </c>
      <c r="C12" s="14" t="str">
        <f>VLOOKUP($A12,Scoring!$A$3:$G$358,3,FALSE)</f>
        <v>Injury</v>
      </c>
      <c r="D12" s="40" t="str">
        <f>VLOOKUP($A12,Scoring!$A$3:$G$358,4,FALSE)</f>
        <v>ECRLS</v>
      </c>
      <c r="E12" s="40" t="str">
        <f>VLOOKUP($A12,Scoring!$A$3:$G$358,5,FALSE)</f>
        <v>OR</v>
      </c>
      <c r="F12" s="40">
        <f>VLOOKUP($A12,Scoring!$A$3:$G$358,6,FALSE)</f>
        <v>31196597</v>
      </c>
      <c r="G12" s="40" t="str">
        <f>VLOOKUP($A12,Scoring!$A$3:$G$358,7,FALSE)</f>
        <v>JB</v>
      </c>
      <c r="H12" s="62"/>
      <c r="I12" s="63">
        <v>3</v>
      </c>
      <c r="J12" s="64">
        <v>4</v>
      </c>
      <c r="K12" s="63">
        <v>3</v>
      </c>
      <c r="L12" s="64">
        <v>3</v>
      </c>
      <c r="M12" s="42">
        <f t="shared" si="0"/>
        <v>13</v>
      </c>
    </row>
    <row r="13" spans="1:13" x14ac:dyDescent="0.3">
      <c r="A13" s="20" t="s">
        <v>684</v>
      </c>
      <c r="B13" s="14" t="str">
        <f>VLOOKUP($A13,Scoring!$A$3:$G$358,2,FALSE)</f>
        <v>Surgical procedures performed by emergency medical teams in sudden-onset disasters: A systematic review</v>
      </c>
      <c r="C13" s="14" t="str">
        <f>VLOOKUP($A13,Scoring!$A$3:$G$358,3,FALSE)</f>
        <v>World J Surg</v>
      </c>
      <c r="D13" s="40" t="str">
        <f>VLOOKUP($A13,Scoring!$A$3:$G$358,4,FALSE)</f>
        <v>DHR</v>
      </c>
      <c r="E13" s="40" t="str">
        <f>VLOOKUP($A13,Scoring!$A$3:$G$358,5,FALSE)</f>
        <v>RE</v>
      </c>
      <c r="F13" s="40">
        <f>VLOOKUP($A13,Scoring!$A$3:$G$358,6,FALSE)</f>
        <v>30680503</v>
      </c>
      <c r="G13" s="40" t="str">
        <f>VLOOKUP($A13,Scoring!$A$3:$G$358,7,FALSE)</f>
        <v>NSAQ</v>
      </c>
      <c r="H13" s="47">
        <v>5</v>
      </c>
      <c r="I13" s="48">
        <v>3</v>
      </c>
      <c r="J13" s="49"/>
      <c r="K13" s="48">
        <v>4</v>
      </c>
      <c r="L13" s="47">
        <v>5</v>
      </c>
      <c r="M13" s="42">
        <f t="shared" si="0"/>
        <v>17</v>
      </c>
    </row>
    <row r="14" spans="1:13" x14ac:dyDescent="0.3">
      <c r="A14" s="14" t="s">
        <v>421</v>
      </c>
      <c r="B14" s="14" t="str">
        <f>VLOOKUP($A14,Scoring!$A$3:$G$358,2,FALSE)</f>
        <v>What drives mortality among HIV patients in a conflict setting? A prospective cohort study in the Central African Republic</v>
      </c>
      <c r="C14" s="14" t="str">
        <f>VLOOKUP($A14,Scoring!$A$3:$G$358,3,FALSE)</f>
        <v>Confl Health</v>
      </c>
      <c r="D14" s="40" t="str">
        <f>VLOOKUP($A14,Scoring!$A$3:$G$358,4,FALSE)</f>
        <v>DHR</v>
      </c>
      <c r="E14" s="40" t="str">
        <f>VLOOKUP($A14,Scoring!$A$3:$G$358,5,FALSE)</f>
        <v>OR</v>
      </c>
      <c r="F14" s="40">
        <f>VLOOKUP($A14,Scoring!$A$3:$G$358,6,FALSE)</f>
        <v>31754370</v>
      </c>
      <c r="G14" s="40" t="str">
        <f>VLOOKUP($A14,Scoring!$A$3:$G$358,7,FALSE)</f>
        <v>MMR</v>
      </c>
      <c r="H14" s="18"/>
      <c r="I14" s="42">
        <v>4</v>
      </c>
      <c r="J14" s="65">
        <v>4</v>
      </c>
      <c r="K14" s="42">
        <v>4</v>
      </c>
      <c r="L14" s="65">
        <v>3</v>
      </c>
      <c r="M14" s="42">
        <f t="shared" si="0"/>
        <v>15</v>
      </c>
    </row>
    <row r="15" spans="1:13" x14ac:dyDescent="0.3">
      <c r="A15" s="14" t="s">
        <v>693</v>
      </c>
      <c r="B15" s="14" t="str">
        <f>VLOOKUP($A15,Scoring!$A$3:$G$358,2,FALSE)</f>
        <v>Geospatial, racial, and educational variation in firearm mortality in the USA, Mexico, Brazil, and Colombia, 1990–2015: A comparative analysis of vital statistics data</v>
      </c>
      <c r="C15" s="14" t="str">
        <f>VLOOKUP($A15,Scoring!$A$3:$G$358,3,FALSE)</f>
        <v>Lancet Public Health</v>
      </c>
      <c r="D15" s="40" t="str">
        <f>VLOOKUP($A15,Scoring!$A$3:$G$358,4,FALSE)</f>
        <v>ECRLS</v>
      </c>
      <c r="E15" s="40" t="str">
        <f>VLOOKUP($A15,Scoring!$A$3:$G$358,5,FALSE)</f>
        <v>OR</v>
      </c>
      <c r="F15" s="40">
        <f>VLOOKUP($A15,Scoring!$A$3:$G$358,6,FALSE)</f>
        <v>31126800</v>
      </c>
      <c r="G15" s="40" t="str">
        <f>VLOOKUP($A15,Scoring!$A$3:$G$358,7,FALSE)</f>
        <v>KSB</v>
      </c>
      <c r="H15" s="18"/>
      <c r="I15" s="42">
        <v>4</v>
      </c>
      <c r="J15" s="65">
        <v>3</v>
      </c>
      <c r="K15" s="42">
        <v>5</v>
      </c>
      <c r="L15" s="65">
        <v>3</v>
      </c>
      <c r="M15" s="42">
        <f t="shared" si="0"/>
        <v>15</v>
      </c>
    </row>
    <row r="16" spans="1:13" x14ac:dyDescent="0.3">
      <c r="A16" s="26" t="s">
        <v>208</v>
      </c>
      <c r="B16" s="14" t="str">
        <f>VLOOKUP($A16,Scoring!$A$3:$G$358,2,FALSE)</f>
        <v>Faculty development program for emergency medicine physicians in India: A pilot program</v>
      </c>
      <c r="C16" s="14" t="str">
        <f>VLOOKUP($A16,Scoring!$A$3:$G$358,3,FALSE)</f>
        <v>AEM Educ Train</v>
      </c>
      <c r="D16" s="40" t="str">
        <f>VLOOKUP($A16,Scoring!$A$3:$G$358,4,FALSE)</f>
        <v>EMD</v>
      </c>
      <c r="E16" s="40" t="str">
        <f>VLOOKUP($A16,Scoring!$A$3:$G$358,5,FALSE)</f>
        <v>OR</v>
      </c>
      <c r="F16" s="40">
        <f>VLOOKUP($A16,Scoring!$A$3:$G$358,6,FALSE)</f>
        <v>30680345</v>
      </c>
      <c r="G16" s="40" t="str">
        <f>VLOOKUP($A16,Scoring!$A$3:$G$358,7,FALSE)</f>
        <v>AYP</v>
      </c>
      <c r="H16" s="56"/>
      <c r="I16" s="57">
        <f>1+1+1</f>
        <v>3</v>
      </c>
      <c r="J16" s="58">
        <f>2+1+1</f>
        <v>4</v>
      </c>
      <c r="K16" s="57">
        <f>2+0+1</f>
        <v>3</v>
      </c>
      <c r="L16" s="58">
        <f>1+1+1+0</f>
        <v>3</v>
      </c>
      <c r="M16" s="42">
        <f t="shared" si="0"/>
        <v>13</v>
      </c>
    </row>
    <row r="17" spans="1:13" x14ac:dyDescent="0.3">
      <c r="A17" s="24" t="s">
        <v>712</v>
      </c>
      <c r="B17" s="14" t="str">
        <f>VLOOKUP($A17,Scoring!$A$3:$G$358,2,FALSE)</f>
        <v>Development and initial validation of a frontline health worker mHealth assessment platform (MEDSINC®) for children 2-60 months of age</v>
      </c>
      <c r="C17" s="14" t="str">
        <f>VLOOKUP($A17,Scoring!$A$3:$G$358,3,FALSE)</f>
        <v>Am J Trop Med Hyg</v>
      </c>
      <c r="D17" s="40" t="str">
        <f>VLOOKUP($A17,Scoring!$A$3:$G$358,4,FALSE)</f>
        <v>EMD</v>
      </c>
      <c r="E17" s="40" t="str">
        <f>VLOOKUP($A17,Scoring!$A$3:$G$358,5,FALSE)</f>
        <v>OR</v>
      </c>
      <c r="F17" s="40">
        <f>VLOOKUP($A17,Scoring!$A$3:$G$358,6,FALSE)</f>
        <v>30994099</v>
      </c>
      <c r="G17" s="40" t="str">
        <f>VLOOKUP($A17,Scoring!$A$3:$G$358,7,FALSE)</f>
        <v>NSAQ</v>
      </c>
      <c r="H17" s="50"/>
      <c r="I17" s="51">
        <v>2</v>
      </c>
      <c r="J17" s="52">
        <v>2</v>
      </c>
      <c r="K17" s="51">
        <v>5</v>
      </c>
      <c r="L17" s="52">
        <v>4</v>
      </c>
      <c r="M17" s="42">
        <f t="shared" si="0"/>
        <v>13</v>
      </c>
    </row>
    <row r="18" spans="1:13" x14ac:dyDescent="0.3">
      <c r="A18" s="14" t="s">
        <v>47</v>
      </c>
      <c r="B18" s="14" t="str">
        <f>VLOOKUP($A18,Scoring!$A$3:$G$358,2,FALSE)</f>
        <v>Prevalence, pattern, magnitude and associated factors of trauma in the emergency department at health institutes in Ethiopia: A systematic review</v>
      </c>
      <c r="C18" s="14" t="str">
        <f>VLOOKUP($A18,Scoring!$A$3:$G$358,3,FALSE)</f>
        <v>Hum Antibodies</v>
      </c>
      <c r="D18" s="40" t="str">
        <f>VLOOKUP($A18,Scoring!$A$3:$G$358,4,FALSE)</f>
        <v>ECRLS</v>
      </c>
      <c r="E18" s="40" t="str">
        <f>VLOOKUP($A18,Scoring!$A$3:$G$358,5,FALSE)</f>
        <v>RE</v>
      </c>
      <c r="F18" s="40">
        <f>VLOOKUP($A18,Scoring!$A$3:$G$358,6,FALSE)</f>
        <v>30909202</v>
      </c>
      <c r="G18" s="40" t="str">
        <f>VLOOKUP($A18,Scoring!$A$3:$G$358,7,FALSE)</f>
        <v>MMR</v>
      </c>
      <c r="H18" s="65">
        <v>5</v>
      </c>
      <c r="I18" s="42">
        <v>3</v>
      </c>
      <c r="J18" s="18"/>
      <c r="K18" s="42">
        <v>5</v>
      </c>
      <c r="L18" s="65">
        <v>4</v>
      </c>
      <c r="M18" s="42">
        <f t="shared" si="0"/>
        <v>17</v>
      </c>
    </row>
    <row r="19" spans="1:13" x14ac:dyDescent="0.3">
      <c r="A19" s="14" t="s">
        <v>90</v>
      </c>
      <c r="B19" s="14" t="str">
        <f>VLOOKUP($A19,Scoring!$A$3:$G$358,2,FALSE)</f>
        <v>The burden of acute coronary syndrome, heart failure, and stroke among emergency department admissions in Tanzania: A retrospective observational study</v>
      </c>
      <c r="C19" s="14" t="str">
        <f>VLOOKUP($A19,Scoring!$A$3:$G$358,3,FALSE)</f>
        <v>Afr J Emerg Med</v>
      </c>
      <c r="D19" s="40" t="str">
        <f>VLOOKUP($A19,Scoring!$A$3:$G$358,4,FALSE)</f>
        <v>ECRLS</v>
      </c>
      <c r="E19" s="40" t="str">
        <f>VLOOKUP($A19,Scoring!$A$3:$G$358,5,FALSE)</f>
        <v>OR</v>
      </c>
      <c r="F19" s="40">
        <f>VLOOKUP($A19,Scoring!$A$3:$G$358,6,FALSE)</f>
        <v>31890481</v>
      </c>
      <c r="G19" s="40" t="str">
        <f>VLOOKUP($A19,Scoring!$A$3:$G$358,7,FALSE)</f>
        <v>JB</v>
      </c>
      <c r="H19" s="18"/>
      <c r="I19" s="42">
        <v>3</v>
      </c>
      <c r="J19" s="65">
        <v>4</v>
      </c>
      <c r="K19" s="42">
        <v>3</v>
      </c>
      <c r="L19" s="65">
        <v>4</v>
      </c>
      <c r="M19" s="42">
        <f t="shared" si="0"/>
        <v>14</v>
      </c>
    </row>
    <row r="20" spans="1:13" x14ac:dyDescent="0.3">
      <c r="A20" s="27" t="s">
        <v>267</v>
      </c>
      <c r="B20" s="14" t="str">
        <f>VLOOKUP($A20,Scoring!$A$3:$G$358,2,FALSE)</f>
        <v>Chest ultrasound for the diagnosis of paediatric pulmonary diseases: A systematic review and meta-analysis of diagnostic test accuracy</v>
      </c>
      <c r="C20" s="14" t="str">
        <f>VLOOKUP($A20,Scoring!$A$3:$G$358,3,FALSE)</f>
        <v>Br Med Bull</v>
      </c>
      <c r="D20" s="40" t="str">
        <f>VLOOKUP($A20,Scoring!$A$3:$G$358,4,FALSE)</f>
        <v>ECRLS</v>
      </c>
      <c r="E20" s="40" t="str">
        <f>VLOOKUP($A20,Scoring!$A$3:$G$358,5,FALSE)</f>
        <v>RE</v>
      </c>
      <c r="F20" s="40">
        <f>VLOOKUP($A20,Scoring!$A$3:$G$358,6,FALSE)</f>
        <v>30561501</v>
      </c>
      <c r="G20" s="40" t="str">
        <f>VLOOKUP($A20,Scoring!$A$3:$G$358,7,FALSE)</f>
        <v>BJH</v>
      </c>
      <c r="H20" s="30">
        <v>3</v>
      </c>
      <c r="I20" s="35">
        <v>5</v>
      </c>
      <c r="J20" s="29"/>
      <c r="K20" s="35">
        <v>5</v>
      </c>
      <c r="L20" s="30">
        <v>2</v>
      </c>
      <c r="M20" s="42">
        <f t="shared" si="0"/>
        <v>15</v>
      </c>
    </row>
    <row r="21" spans="1:13" x14ac:dyDescent="0.3">
      <c r="A21" s="14" t="s">
        <v>763</v>
      </c>
      <c r="B21" s="14" t="str">
        <f>VLOOKUP($A21,Scoring!$A$3:$G$358,2,FALSE)</f>
        <v>Reality makes our decisions: Ethical challenges in humanitarian health in situations of extreme violence</v>
      </c>
      <c r="C21" s="14">
        <f>VLOOKUP($A21,Scoring!$A$3:$G$358,3,FALSE)</f>
        <v>0</v>
      </c>
      <c r="D21" s="40" t="str">
        <f>VLOOKUP($A21,Scoring!$A$3:$G$358,4,FALSE)</f>
        <v>DHR</v>
      </c>
      <c r="E21" s="40" t="str">
        <f>VLOOKUP($A21,Scoring!$A$3:$G$358,5,FALSE)</f>
        <v>OR</v>
      </c>
      <c r="F21" s="40">
        <f>VLOOKUP($A21,Scoring!$A$3:$G$358,6,FALSE)</f>
        <v>0</v>
      </c>
      <c r="G21" s="40" t="str">
        <f>VLOOKUP($A21,Scoring!$A$3:$G$358,7,FALSE)</f>
        <v>KSB</v>
      </c>
      <c r="H21" s="18"/>
      <c r="I21" s="42">
        <v>2</v>
      </c>
      <c r="J21" s="65">
        <v>3</v>
      </c>
      <c r="K21" s="42">
        <v>3</v>
      </c>
      <c r="L21" s="65">
        <v>3</v>
      </c>
      <c r="M21" s="42">
        <f t="shared" si="0"/>
        <v>11</v>
      </c>
    </row>
    <row r="22" spans="1:13" x14ac:dyDescent="0.3">
      <c r="A22" s="14" t="s">
        <v>145</v>
      </c>
      <c r="B22" s="14" t="str">
        <f>VLOOKUP($A22,Scoring!$A$3:$G$358,2,FALSE)</f>
        <v>Field evaluation of a locally produced rapid diagnostic test for early detection of cholera in Bangladesh</v>
      </c>
      <c r="C22" s="14" t="str">
        <f>VLOOKUP($A22,Scoring!$A$3:$G$358,3,FALSE)</f>
        <v>PLoS Negl Trop Dis</v>
      </c>
      <c r="D22" s="40" t="str">
        <f>VLOOKUP($A22,Scoring!$A$3:$G$358,4,FALSE)</f>
        <v>ECRLS</v>
      </c>
      <c r="E22" s="40" t="str">
        <f>VLOOKUP($A22,Scoring!$A$3:$G$358,5,FALSE)</f>
        <v>OR</v>
      </c>
      <c r="F22" s="40">
        <f>VLOOKUP($A22,Scoring!$A$3:$G$358,6,FALSE)</f>
        <v>30703097</v>
      </c>
      <c r="G22" s="40" t="str">
        <f>VLOOKUP($A22,Scoring!$A$3:$G$358,7,FALSE)</f>
        <v>MMR</v>
      </c>
      <c r="H22" s="18"/>
      <c r="I22" s="42">
        <v>4</v>
      </c>
      <c r="J22" s="65">
        <v>3</v>
      </c>
      <c r="K22" s="42">
        <v>5</v>
      </c>
      <c r="L22" s="65">
        <v>5</v>
      </c>
      <c r="M22" s="42">
        <f t="shared" si="0"/>
        <v>17</v>
      </c>
    </row>
    <row r="23" spans="1:13" x14ac:dyDescent="0.3">
      <c r="A23" s="19" t="s">
        <v>285</v>
      </c>
      <c r="B23" s="14" t="str">
        <f>VLOOKUP($A23,Scoring!$A$3:$G$358,2,FALSE)</f>
        <v>Characterizing injury at a tertiary referral hospital in Kenya</v>
      </c>
      <c r="C23" s="14" t="str">
        <f>VLOOKUP($A23,Scoring!$A$3:$G$358,3,FALSE)</f>
        <v>PLoS One</v>
      </c>
      <c r="D23" s="40" t="str">
        <f>VLOOKUP($A23,Scoring!$A$3:$G$358,4,FALSE)</f>
        <v>ECRLS</v>
      </c>
      <c r="E23" s="40" t="str">
        <f>VLOOKUP($A23,Scoring!$A$3:$G$358,5,FALSE)</f>
        <v>OR</v>
      </c>
      <c r="F23" s="40">
        <f>VLOOKUP($A23,Scoring!$A$3:$G$358,6,FALSE)</f>
        <v>31339962</v>
      </c>
      <c r="G23" s="40" t="str">
        <f>VLOOKUP($A23,Scoring!$A$3:$G$358,7,FALSE)</f>
        <v>AS</v>
      </c>
      <c r="H23" s="44"/>
      <c r="I23" s="45">
        <v>4</v>
      </c>
      <c r="J23" s="46">
        <v>4</v>
      </c>
      <c r="K23" s="45">
        <v>3</v>
      </c>
      <c r="L23" s="46">
        <v>1</v>
      </c>
      <c r="M23" s="42">
        <f t="shared" si="0"/>
        <v>12</v>
      </c>
    </row>
    <row r="24" spans="1:13" x14ac:dyDescent="0.3">
      <c r="A24" s="25" t="s">
        <v>57</v>
      </c>
      <c r="B24" s="14" t="str">
        <f>VLOOKUP($A24,Scoring!$A$3:$G$358,2,FALSE)</f>
        <v>The challenges and opportunities in disaster nursing education in Turkey</v>
      </c>
      <c r="C24" s="14" t="str">
        <f>VLOOKUP($A24,Scoring!$A$3:$G$358,3,FALSE)</f>
        <v>J Trauma Nurs</v>
      </c>
      <c r="D24" s="40" t="str">
        <f>VLOOKUP($A24,Scoring!$A$3:$G$358,4,FALSE)</f>
        <v>EMD</v>
      </c>
      <c r="E24" s="40" t="str">
        <f>VLOOKUP($A24,Scoring!$A$3:$G$358,5,FALSE)</f>
        <v>RE</v>
      </c>
      <c r="F24" s="40">
        <f>VLOOKUP($A24,Scoring!$A$3:$G$358,6,FALSE)</f>
        <v>31483775</v>
      </c>
      <c r="G24" s="40" t="str">
        <f>VLOOKUP($A24,Scoring!$A$3:$G$358,7,FALSE)</f>
        <v>AYP</v>
      </c>
      <c r="H24" s="53">
        <v>4</v>
      </c>
      <c r="I24" s="54">
        <v>1</v>
      </c>
      <c r="J24" s="55"/>
      <c r="K24" s="54">
        <v>1</v>
      </c>
      <c r="L24" s="53">
        <v>2</v>
      </c>
      <c r="M24" s="42">
        <f t="shared" si="0"/>
        <v>8</v>
      </c>
    </row>
    <row r="25" spans="1:13" x14ac:dyDescent="0.3">
      <c r="A25" s="19" t="s">
        <v>254</v>
      </c>
      <c r="B25" s="14" t="str">
        <f>VLOOKUP($A25,Scoring!$A$3:$G$358,2,FALSE)</f>
        <v>Predictors of mortality in patients with yellow fever: An observational cohort study</v>
      </c>
      <c r="C25" s="14" t="str">
        <f>VLOOKUP($A25,Scoring!$A$3:$G$358,3,FALSE)</f>
        <v>Lancet Infect Dis</v>
      </c>
      <c r="D25" s="40" t="str">
        <f>VLOOKUP($A25,Scoring!$A$3:$G$358,4,FALSE)</f>
        <v>ECRLS</v>
      </c>
      <c r="E25" s="40" t="str">
        <f>VLOOKUP($A25,Scoring!$A$3:$G$358,5,FALSE)</f>
        <v>OR</v>
      </c>
      <c r="F25" s="40">
        <f>VLOOKUP($A25,Scoring!$A$3:$G$358,6,FALSE)</f>
        <v>31104909</v>
      </c>
      <c r="G25" s="40" t="str">
        <f>VLOOKUP($A25,Scoring!$A$3:$G$358,7,FALSE)</f>
        <v>AS</v>
      </c>
      <c r="H25" s="44"/>
      <c r="I25" s="45">
        <v>4</v>
      </c>
      <c r="J25" s="46">
        <v>4</v>
      </c>
      <c r="K25" s="45">
        <v>3</v>
      </c>
      <c r="L25" s="46">
        <v>4</v>
      </c>
      <c r="M25" s="42">
        <f t="shared" si="0"/>
        <v>15</v>
      </c>
    </row>
    <row r="26" spans="1:13" x14ac:dyDescent="0.3">
      <c r="A26" s="21" t="s">
        <v>573</v>
      </c>
      <c r="B26" s="14" t="str">
        <f>VLOOKUP($A26,Scoring!$A$3:$G$358,2,FALSE)</f>
        <v xml:space="preserve">Global health, global surgery and mass casualties. I. Rational for integrated mass casualty centres
</v>
      </c>
      <c r="C26" s="14" t="str">
        <f>VLOOKUP($A26,Scoring!$A$3:$G$358,3,FALSE)</f>
        <v>BMJ Glob Health</v>
      </c>
      <c r="D26" s="40" t="str">
        <f>VLOOKUP($A26,Scoring!$A$3:$G$358,4,FALSE)</f>
        <v>DHR</v>
      </c>
      <c r="E26" s="40" t="str">
        <f>VLOOKUP($A26,Scoring!$A$3:$G$358,5,FALSE)</f>
        <v>RE</v>
      </c>
      <c r="F26" s="40">
        <f>VLOOKUP($A26,Scoring!$A$3:$G$358,6,FALSE)</f>
        <v>31908871</v>
      </c>
      <c r="G26" s="40" t="str">
        <f>VLOOKUP($A26,Scoring!$A$3:$G$358,7,FALSE)</f>
        <v>NSAQ</v>
      </c>
      <c r="H26" s="22">
        <v>2</v>
      </c>
      <c r="I26" s="34">
        <v>0</v>
      </c>
      <c r="J26" s="23"/>
      <c r="K26" s="34">
        <v>2</v>
      </c>
      <c r="L26" s="22">
        <v>3</v>
      </c>
      <c r="M26" s="42">
        <f t="shared" si="0"/>
        <v>7</v>
      </c>
    </row>
    <row r="27" spans="1:13" x14ac:dyDescent="0.3">
      <c r="A27" s="32" t="s">
        <v>50</v>
      </c>
      <c r="B27" s="14" t="str">
        <f>VLOOKUP($A27,Scoring!$A$3:$G$358,2,FALSE)</f>
        <v>Changes in the healthcare utilization after establishment of emergency centre in Yaoundé, Cameroon: A before and after cross-sectional survey analysis</v>
      </c>
      <c r="C27" s="14" t="str">
        <f>VLOOKUP($A27,Scoring!$A$3:$G$358,3,FALSE)</f>
        <v>PLoS One</v>
      </c>
      <c r="D27" s="40" t="str">
        <f>VLOOKUP($A27,Scoring!$A$3:$G$358,4,FALSE)</f>
        <v>EMD</v>
      </c>
      <c r="E27" s="40" t="str">
        <f>VLOOKUP($A27,Scoring!$A$3:$G$358,5,FALSE)</f>
        <v>OR</v>
      </c>
      <c r="F27" s="40">
        <f>VLOOKUP($A27,Scoring!$A$3:$G$358,6,FALSE)</f>
        <v>30735533</v>
      </c>
      <c r="G27" s="40" t="str">
        <f>VLOOKUP($A27,Scoring!$A$3:$G$358,7,FALSE)</f>
        <v>JB</v>
      </c>
      <c r="H27" s="62"/>
      <c r="I27" s="63">
        <v>3</v>
      </c>
      <c r="J27" s="64">
        <v>4</v>
      </c>
      <c r="K27" s="63">
        <v>4</v>
      </c>
      <c r="L27" s="64">
        <v>2</v>
      </c>
      <c r="M27" s="42">
        <f t="shared" si="0"/>
        <v>13</v>
      </c>
    </row>
    <row r="28" spans="1:13" x14ac:dyDescent="0.3">
      <c r="A28" s="26" t="s">
        <v>196</v>
      </c>
      <c r="B28" s="14" t="str">
        <f>VLOOKUP($A28,Scoring!$A$3:$G$358,2,FALSE)</f>
        <v>Cost analysis of the Mongolian ATLS© program: A framework for low- and middle-income countries</v>
      </c>
      <c r="C28" s="14" t="str">
        <f>VLOOKUP($A28,Scoring!$A$3:$G$358,3,FALSE)</f>
        <v>World J Surg</v>
      </c>
      <c r="D28" s="40" t="str">
        <f>VLOOKUP($A28,Scoring!$A$3:$G$358,4,FALSE)</f>
        <v>EMD</v>
      </c>
      <c r="E28" s="40" t="str">
        <f>VLOOKUP($A28,Scoring!$A$3:$G$358,5,FALSE)</f>
        <v>OR</v>
      </c>
      <c r="F28" s="40">
        <f>VLOOKUP($A28,Scoring!$A$3:$G$358,6,FALSE)</f>
        <v>30353403</v>
      </c>
      <c r="G28" s="40" t="str">
        <f>VLOOKUP($A28,Scoring!$A$3:$G$358,7,FALSE)</f>
        <v>AYP</v>
      </c>
      <c r="H28" s="56"/>
      <c r="I28" s="57">
        <v>2</v>
      </c>
      <c r="J28" s="58">
        <v>1</v>
      </c>
      <c r="K28" s="57">
        <v>3</v>
      </c>
      <c r="L28" s="58">
        <v>4</v>
      </c>
      <c r="M28" s="42">
        <f t="shared" si="0"/>
        <v>10</v>
      </c>
    </row>
    <row r="29" spans="1:13" x14ac:dyDescent="0.3">
      <c r="A29" s="19" t="s">
        <v>287</v>
      </c>
      <c r="B29" s="14" t="str">
        <f>VLOOKUP($A29,Scoring!$A$3:$G$358,2,FALSE)</f>
        <v>Frequency, characteristics and hospital outcomes of road traffic accidents and their victims in Guinea: A three-year retrospective study from 2015 to 2017</v>
      </c>
      <c r="C29" s="14" t="str">
        <f>VLOOKUP($A29,Scoring!$A$3:$G$358,3,FALSE)</f>
        <v>BMC Public Health</v>
      </c>
      <c r="D29" s="40" t="str">
        <f>VLOOKUP($A29,Scoring!$A$3:$G$358,4,FALSE)</f>
        <v>ECRLS</v>
      </c>
      <c r="E29" s="40" t="str">
        <f>VLOOKUP($A29,Scoring!$A$3:$G$358,5,FALSE)</f>
        <v>OR</v>
      </c>
      <c r="F29" s="40">
        <f>VLOOKUP($A29,Scoring!$A$3:$G$358,6,FALSE)</f>
        <v>31366335</v>
      </c>
      <c r="G29" s="40" t="str">
        <f>VLOOKUP($A29,Scoring!$A$3:$G$358,7,FALSE)</f>
        <v>AS</v>
      </c>
      <c r="H29" s="44"/>
      <c r="I29" s="45">
        <v>4</v>
      </c>
      <c r="J29" s="46">
        <v>4</v>
      </c>
      <c r="K29" s="45">
        <v>3</v>
      </c>
      <c r="L29" s="46">
        <v>1</v>
      </c>
      <c r="M29" s="42">
        <f t="shared" si="0"/>
        <v>12</v>
      </c>
    </row>
    <row r="30" spans="1:13" x14ac:dyDescent="0.3">
      <c r="A30" s="14" t="s">
        <v>148</v>
      </c>
      <c r="B30" s="14" t="str">
        <f>VLOOKUP($A30,Scoring!$A$3:$G$358,2,FALSE)</f>
        <v>Difficulties faced by Korean disaster relief workers while providing humanitarian aid: A descriptive study</v>
      </c>
      <c r="C30" s="14" t="str">
        <f>VLOOKUP($A30,Scoring!$A$3:$G$358,3,FALSE)</f>
        <v>Nurs Health Sci</v>
      </c>
      <c r="D30" s="40" t="str">
        <f>VLOOKUP($A30,Scoring!$A$3:$G$358,4,FALSE)</f>
        <v>DHR</v>
      </c>
      <c r="E30" s="40" t="str">
        <f>VLOOKUP($A30,Scoring!$A$3:$G$358,5,FALSE)</f>
        <v>OR</v>
      </c>
      <c r="F30" s="40">
        <f>VLOOKUP($A30,Scoring!$A$3:$G$358,6,FALSE)</f>
        <v>30328230</v>
      </c>
      <c r="G30" s="40" t="str">
        <f>VLOOKUP($A30,Scoring!$A$3:$G$358,7,FALSE)</f>
        <v>MMR</v>
      </c>
      <c r="H30" s="18"/>
      <c r="I30" s="42">
        <v>3</v>
      </c>
      <c r="J30" s="65">
        <v>3</v>
      </c>
      <c r="K30" s="42">
        <v>3</v>
      </c>
      <c r="L30" s="65">
        <v>1</v>
      </c>
      <c r="M30" s="42">
        <f t="shared" si="0"/>
        <v>10</v>
      </c>
    </row>
    <row r="31" spans="1:13" x14ac:dyDescent="0.3">
      <c r="A31" s="25" t="s">
        <v>807</v>
      </c>
      <c r="B31" s="14" t="str">
        <f>VLOOKUP($A31,Scoring!$A$3:$G$358,2,FALSE)</f>
        <v>Anti-Ebola therapy for patients with Ebola virus disease: A systematic review</v>
      </c>
      <c r="C31" s="14" t="str">
        <f>VLOOKUP($A31,Scoring!$A$3:$G$358,3,FALSE)</f>
        <v>BMC Infect Dis</v>
      </c>
      <c r="D31" s="40" t="str">
        <f>VLOOKUP($A31,Scoring!$A$3:$G$358,4,FALSE)</f>
        <v>DHR</v>
      </c>
      <c r="E31" s="40" t="str">
        <f>VLOOKUP($A31,Scoring!$A$3:$G$358,5,FALSE)</f>
        <v>RE</v>
      </c>
      <c r="F31" s="40">
        <f>VLOOKUP($A31,Scoring!$A$3:$G$358,6,FALSE)</f>
        <v>31046707</v>
      </c>
      <c r="G31" s="40" t="str">
        <f>VLOOKUP($A31,Scoring!$A$3:$G$358,7,FALSE)</f>
        <v>AYP</v>
      </c>
      <c r="H31" s="53">
        <v>5</v>
      </c>
      <c r="I31" s="54">
        <v>4</v>
      </c>
      <c r="J31" s="55"/>
      <c r="K31" s="54">
        <v>3</v>
      </c>
      <c r="L31" s="53">
        <v>4</v>
      </c>
      <c r="M31" s="42">
        <f t="shared" si="0"/>
        <v>16</v>
      </c>
    </row>
    <row r="32" spans="1:13" x14ac:dyDescent="0.3">
      <c r="A32" s="16" t="s">
        <v>388</v>
      </c>
      <c r="B32" s="14" t="str">
        <f>VLOOKUP($A32,Scoring!$A$3:$G$358,2,FALSE)</f>
        <v>Needs assessment of emergency medical and rescue services in Abuja/Nigeria and environs</v>
      </c>
      <c r="C32" s="14" t="str">
        <f>VLOOKUP($A32,Scoring!$A$3:$G$358,3,FALSE)</f>
        <v>BMC Emerg Med</v>
      </c>
      <c r="D32" s="40" t="str">
        <f>VLOOKUP($A32,Scoring!$A$3:$G$358,4,FALSE)</f>
        <v>ECRLS</v>
      </c>
      <c r="E32" s="40" t="str">
        <f>VLOOKUP($A32,Scoring!$A$3:$G$358,5,FALSE)</f>
        <v>OR</v>
      </c>
      <c r="F32" s="40">
        <f>VLOOKUP($A32,Scoring!$A$3:$G$358,6,FALSE)</f>
        <v>31805859</v>
      </c>
      <c r="G32" s="40" t="str">
        <f>VLOOKUP($A32,Scoring!$A$3:$G$358,7,FALSE)</f>
        <v>AS</v>
      </c>
      <c r="H32" s="18"/>
      <c r="I32" s="33">
        <v>4</v>
      </c>
      <c r="J32" s="17">
        <v>4</v>
      </c>
      <c r="K32" s="33">
        <v>3</v>
      </c>
      <c r="L32" s="17">
        <v>0</v>
      </c>
      <c r="M32" s="42">
        <f t="shared" si="0"/>
        <v>11</v>
      </c>
    </row>
    <row r="33" spans="1:13" x14ac:dyDescent="0.3">
      <c r="A33" s="26" t="s">
        <v>307</v>
      </c>
      <c r="B33" s="14" t="str">
        <f>VLOOKUP($A33,Scoring!$A$3:$G$358,2,FALSE)</f>
        <v>Disease status of Afghan refugees and migrants in Pakistan</v>
      </c>
      <c r="C33" s="14" t="str">
        <f>VLOOKUP($A33,Scoring!$A$3:$G$358,3,FALSE)</f>
        <v>Front Public Health</v>
      </c>
      <c r="D33" s="40" t="str">
        <f>VLOOKUP($A33,Scoring!$A$3:$G$358,4,FALSE)</f>
        <v>DHR</v>
      </c>
      <c r="E33" s="40" t="str">
        <f>VLOOKUP($A33,Scoring!$A$3:$G$358,5,FALSE)</f>
        <v>OR</v>
      </c>
      <c r="F33" s="40">
        <f>VLOOKUP($A33,Scoring!$A$3:$G$358,6,FALSE)</f>
        <v>31334212</v>
      </c>
      <c r="G33" s="40" t="str">
        <f>VLOOKUP($A33,Scoring!$A$3:$G$358,7,FALSE)</f>
        <v>AYP</v>
      </c>
      <c r="H33" s="56"/>
      <c r="I33" s="57">
        <f>1+1+0</f>
        <v>2</v>
      </c>
      <c r="J33" s="58">
        <f>0+0+1</f>
        <v>1</v>
      </c>
      <c r="K33" s="57">
        <f>2+2+1</f>
        <v>5</v>
      </c>
      <c r="L33" s="58">
        <f>0+1+0+1</f>
        <v>2</v>
      </c>
      <c r="M33" s="42">
        <f t="shared" si="0"/>
        <v>10</v>
      </c>
    </row>
    <row r="34" spans="1:13" x14ac:dyDescent="0.3">
      <c r="A34" s="151" t="s">
        <v>838</v>
      </c>
      <c r="B34" s="14" t="str">
        <f>VLOOKUP($A34,Scoring!$A$3:$G$358,2,FALSE)</f>
        <v>Complicated delivery: The Yemeni mothers and children dying without medical care</v>
      </c>
      <c r="C34" s="14">
        <f>VLOOKUP($A34,Scoring!$A$3:$G$358,3,FALSE)</f>
        <v>0</v>
      </c>
      <c r="D34" s="40" t="str">
        <f>VLOOKUP($A34,Scoring!$A$3:$G$358,4,FALSE)</f>
        <v>DHR</v>
      </c>
      <c r="E34" s="40" t="str">
        <f>VLOOKUP($A34,Scoring!$A$3:$G$358,5,FALSE)</f>
        <v>OR</v>
      </c>
      <c r="F34" s="40">
        <f>VLOOKUP($A34,Scoring!$A$3:$G$358,6,FALSE)</f>
        <v>0</v>
      </c>
      <c r="G34" s="40" t="str">
        <f>VLOOKUP($A34,Scoring!$A$3:$G$358,7,FALSE)</f>
        <v>KSB</v>
      </c>
      <c r="H34" s="18"/>
      <c r="I34" s="42">
        <v>2</v>
      </c>
      <c r="J34" s="65">
        <v>0</v>
      </c>
      <c r="K34" s="42">
        <v>3</v>
      </c>
      <c r="L34" s="65">
        <v>2</v>
      </c>
      <c r="M34" s="42">
        <f t="shared" ref="M34:M63" si="1">SUM(H34:L34)</f>
        <v>7</v>
      </c>
    </row>
    <row r="35" spans="1:13" x14ac:dyDescent="0.3">
      <c r="A35" s="26" t="s">
        <v>206</v>
      </c>
      <c r="B35" s="14" t="str">
        <f>VLOOKUP($A35,Scoring!$A$3:$G$358,2,FALSE)</f>
        <v>Helicopter critical care retrieval in a developing country: A trauma case series from Bhutan</v>
      </c>
      <c r="C35" s="14" t="str">
        <f>VLOOKUP($A35,Scoring!$A$3:$G$358,3,FALSE)</f>
        <v>High Alt Med Biol</v>
      </c>
      <c r="D35" s="40" t="str">
        <f>VLOOKUP($A35,Scoring!$A$3:$G$358,4,FALSE)</f>
        <v>ECRLS</v>
      </c>
      <c r="E35" s="40" t="str">
        <f>VLOOKUP($A35,Scoring!$A$3:$G$358,5,FALSE)</f>
        <v>OR</v>
      </c>
      <c r="F35" s="40">
        <f>VLOOKUP($A35,Scoring!$A$3:$G$358,6,FALSE)</f>
        <v>31460794</v>
      </c>
      <c r="G35" s="40" t="str">
        <f>VLOOKUP($A35,Scoring!$A$3:$G$358,7,FALSE)</f>
        <v>AYP</v>
      </c>
      <c r="H35" s="56"/>
      <c r="I35" s="57">
        <f>1+1+1</f>
        <v>3</v>
      </c>
      <c r="J35" s="58">
        <f>2+1+1</f>
        <v>4</v>
      </c>
      <c r="K35" s="57">
        <f>0+2+1</f>
        <v>3</v>
      </c>
      <c r="L35" s="58">
        <f>1+2+1+1</f>
        <v>5</v>
      </c>
      <c r="M35" s="42">
        <f t="shared" si="1"/>
        <v>15</v>
      </c>
    </row>
    <row r="36" spans="1:13" x14ac:dyDescent="0.3">
      <c r="A36" s="14" t="s">
        <v>377</v>
      </c>
      <c r="B36" s="14" t="str">
        <f>VLOOKUP($A36,Scoring!$A$3:$G$358,2,FALSE)</f>
        <v>IRC needs assessment report: Mexico-northern border</v>
      </c>
      <c r="C36" s="14">
        <f>VLOOKUP($A36,Scoring!$A$3:$G$358,3,FALSE)</f>
        <v>0</v>
      </c>
      <c r="D36" s="40" t="str">
        <f>VLOOKUP($A36,Scoring!$A$3:$G$358,4,FALSE)</f>
        <v>DHR</v>
      </c>
      <c r="E36" s="40" t="str">
        <f>VLOOKUP($A36,Scoring!$A$3:$G$358,5,FALSE)</f>
        <v>OR</v>
      </c>
      <c r="F36" s="40">
        <f>VLOOKUP($A36,Scoring!$A$3:$G$358,6,FALSE)</f>
        <v>0</v>
      </c>
      <c r="G36" s="40" t="str">
        <f>VLOOKUP($A36,Scoring!$A$3:$G$358,7,FALSE)</f>
        <v>KSB</v>
      </c>
      <c r="H36" s="18"/>
      <c r="I36" s="42">
        <v>3</v>
      </c>
      <c r="J36" s="65">
        <v>3</v>
      </c>
      <c r="K36" s="42">
        <v>2</v>
      </c>
      <c r="L36" s="65">
        <v>3</v>
      </c>
      <c r="M36" s="42">
        <f t="shared" si="1"/>
        <v>11</v>
      </c>
    </row>
    <row r="37" spans="1:13" x14ac:dyDescent="0.3">
      <c r="A37" s="28" t="s">
        <v>585</v>
      </c>
      <c r="B37" s="14" t="str">
        <f>VLOOKUP($A37,Scoring!$A$3:$G$358,2,FALSE)</f>
        <v>The preparedness of hospital emergency departments for responding to disasters in Iran; A systematic review and meta-analysis</v>
      </c>
      <c r="C37" s="14" t="str">
        <f>VLOOKUP($A37,Scoring!$A$3:$G$358,3,FALSE)</f>
        <v>Arch Acad Emerg Med</v>
      </c>
      <c r="D37" s="40" t="str">
        <f>VLOOKUP($A37,Scoring!$A$3:$G$358,4,FALSE)</f>
        <v>DHR</v>
      </c>
      <c r="E37" s="40" t="str">
        <f>VLOOKUP($A37,Scoring!$A$3:$G$358,5,FALSE)</f>
        <v>RE</v>
      </c>
      <c r="F37" s="40">
        <f>VLOOKUP($A37,Scoring!$A$3:$G$358,6,FALSE)</f>
        <v>31875212</v>
      </c>
      <c r="G37" s="40" t="str">
        <f>VLOOKUP($A37,Scoring!$A$3:$G$358,7,FALSE)</f>
        <v>BJH</v>
      </c>
      <c r="H37" s="30">
        <v>5</v>
      </c>
      <c r="I37" s="35">
        <v>5</v>
      </c>
      <c r="J37" s="29"/>
      <c r="K37" s="35">
        <v>5</v>
      </c>
      <c r="L37" s="30">
        <v>1</v>
      </c>
      <c r="M37" s="42">
        <f t="shared" si="1"/>
        <v>16</v>
      </c>
    </row>
    <row r="38" spans="1:13" x14ac:dyDescent="0.3">
      <c r="A38" s="25" t="s">
        <v>144</v>
      </c>
      <c r="B38" s="14" t="str">
        <f>VLOOKUP($A38,Scoring!$A$3:$G$358,2,FALSE)</f>
        <v>A single-site pilot implementation of a novel trauma training program for prehospital providers in a resource-limited setting</v>
      </c>
      <c r="C38" s="14" t="str">
        <f>VLOOKUP($A38,Scoring!$A$3:$G$358,3,FALSE)</f>
        <v>Pilot Feasibility Stud</v>
      </c>
      <c r="D38" s="40" t="str">
        <f>VLOOKUP($A38,Scoring!$A$3:$G$358,4,FALSE)</f>
        <v>EMD</v>
      </c>
      <c r="E38" s="40" t="str">
        <f>VLOOKUP($A38,Scoring!$A$3:$G$358,5,FALSE)</f>
        <v>OR</v>
      </c>
      <c r="F38" s="40">
        <f>VLOOKUP($A38,Scoring!$A$3:$G$358,6,FALSE)</f>
        <v>31844551</v>
      </c>
      <c r="G38" s="40" t="str">
        <f>VLOOKUP($A38,Scoring!$A$3:$G$358,7,FALSE)</f>
        <v>AYP</v>
      </c>
      <c r="H38" s="53">
        <v>5</v>
      </c>
      <c r="I38" s="54">
        <v>2</v>
      </c>
      <c r="J38" s="55"/>
      <c r="K38" s="54">
        <v>3</v>
      </c>
      <c r="L38" s="53">
        <v>2</v>
      </c>
      <c r="M38" s="42">
        <f t="shared" si="1"/>
        <v>12</v>
      </c>
    </row>
    <row r="39" spans="1:13" x14ac:dyDescent="0.3">
      <c r="A39" s="152" t="s">
        <v>348</v>
      </c>
      <c r="B39" s="14" t="str">
        <f>VLOOKUP($A39,Scoring!$A$3:$G$358,2,FALSE)</f>
        <v>Emergency care surveillance and emergency care registries in low-income and middle-income countries: Conceptual challenges and future directions for research</v>
      </c>
      <c r="C39" s="14" t="str">
        <f>VLOOKUP($A39,Scoring!$A$3:$G$358,3,FALSE)</f>
        <v xml:space="preserve">BMJ Glob Health </v>
      </c>
      <c r="D39" s="40" t="str">
        <f>VLOOKUP($A39,Scoring!$A$3:$G$358,4,FALSE)</f>
        <v>ECRLS</v>
      </c>
      <c r="E39" s="40" t="str">
        <f>VLOOKUP($A39,Scoring!$A$3:$G$358,5,FALSE)</f>
        <v>RE</v>
      </c>
      <c r="F39" s="40">
        <f>VLOOKUP($A39,Scoring!$A$3:$G$358,6,FALSE)</f>
        <v>31406601</v>
      </c>
      <c r="G39" s="40" t="str">
        <f>VLOOKUP($A39,Scoring!$A$3:$G$358,7,FALSE)</f>
        <v>BJH</v>
      </c>
      <c r="H39" s="30">
        <v>3</v>
      </c>
      <c r="I39" s="35">
        <v>1</v>
      </c>
      <c r="J39" s="29"/>
      <c r="K39" s="35">
        <v>5</v>
      </c>
      <c r="L39" s="30">
        <v>4</v>
      </c>
      <c r="M39" s="42">
        <f t="shared" si="1"/>
        <v>13</v>
      </c>
    </row>
    <row r="40" spans="1:13" x14ac:dyDescent="0.3">
      <c r="A40" s="14" t="s">
        <v>96</v>
      </c>
      <c r="B40" s="14" t="str">
        <f>VLOOKUP($A40,Scoring!$A$3:$G$358,2,FALSE)</f>
        <v>Implementation and evaluation of an algorithm for the management of scabies outbreaks</v>
      </c>
      <c r="C40" s="14" t="str">
        <f>VLOOKUP($A40,Scoring!$A$3:$G$358,3,FALSE)</f>
        <v>BMC Infect Dis</v>
      </c>
      <c r="D40" s="40" t="str">
        <f>VLOOKUP($A40,Scoring!$A$3:$G$358,4,FALSE)</f>
        <v>DHR</v>
      </c>
      <c r="E40" s="40" t="str">
        <f>VLOOKUP($A40,Scoring!$A$3:$G$358,5,FALSE)</f>
        <v>OR</v>
      </c>
      <c r="F40" s="40">
        <f>VLOOKUP($A40,Scoring!$A$3:$G$358,6,FALSE)</f>
        <v>30819115</v>
      </c>
      <c r="G40" s="40" t="str">
        <f>VLOOKUP($A40,Scoring!$A$3:$G$358,7,FALSE)</f>
        <v>MMR</v>
      </c>
      <c r="H40" s="18"/>
      <c r="I40" s="42">
        <v>3</v>
      </c>
      <c r="J40" s="65">
        <v>4</v>
      </c>
      <c r="K40" s="42">
        <v>3</v>
      </c>
      <c r="L40" s="65">
        <v>2</v>
      </c>
      <c r="M40" s="42">
        <f t="shared" si="1"/>
        <v>12</v>
      </c>
    </row>
    <row r="41" spans="1:13" x14ac:dyDescent="0.3">
      <c r="A41" s="19" t="s">
        <v>257</v>
      </c>
      <c r="B41" s="14" t="str">
        <f>VLOOKUP($A41,Scoring!$A$3:$G$358,2,FALSE)</f>
        <v>Respiratory compromise in children presenting to an urban emergency department of a teriary hospital in Tanzania: a descriptive cohort study</v>
      </c>
      <c r="C41" s="14" t="str">
        <f>VLOOKUP($A41,Scoring!$A$3:$G$358,3,FALSE)</f>
        <v>BMC Emerg Med</v>
      </c>
      <c r="D41" s="40" t="str">
        <f>VLOOKUP($A41,Scoring!$A$3:$G$358,4,FALSE)</f>
        <v>ECRLS</v>
      </c>
      <c r="E41" s="40" t="str">
        <f>VLOOKUP($A41,Scoring!$A$3:$G$358,5,FALSE)</f>
        <v>OR</v>
      </c>
      <c r="F41" s="40">
        <f>VLOOKUP($A41,Scoring!$A$3:$G$358,6,FALSE)</f>
        <v>30819093</v>
      </c>
      <c r="G41" s="40" t="str">
        <f>VLOOKUP($A41,Scoring!$A$3:$G$358,7,FALSE)</f>
        <v>AS</v>
      </c>
      <c r="H41" s="44"/>
      <c r="I41" s="45">
        <v>4</v>
      </c>
      <c r="J41" s="46">
        <v>4</v>
      </c>
      <c r="K41" s="45">
        <v>5</v>
      </c>
      <c r="L41" s="46">
        <v>1</v>
      </c>
      <c r="M41" s="42">
        <f t="shared" si="1"/>
        <v>14</v>
      </c>
    </row>
    <row r="42" spans="1:13" x14ac:dyDescent="0.3">
      <c r="A42" s="16" t="s">
        <v>407</v>
      </c>
      <c r="B42" s="14" t="str">
        <f>VLOOKUP($A42,Scoring!$A$3:$G$358,2,FALSE)</f>
        <v>Trends in demographics and surgical treatment of weapon-related limb injuries over two decades in a resource-scarce setting</v>
      </c>
      <c r="C42" s="14" t="str">
        <f>VLOOKUP($A42,Scoring!$A$3:$G$358,3,FALSE)</f>
        <v>World J Surg</v>
      </c>
      <c r="D42" s="40" t="str">
        <f>VLOOKUP($A42,Scoring!$A$3:$G$358,4,FALSE)</f>
        <v>ECRLS</v>
      </c>
      <c r="E42" s="40" t="str">
        <f>VLOOKUP($A42,Scoring!$A$3:$G$358,5,FALSE)</f>
        <v>OR</v>
      </c>
      <c r="F42" s="40">
        <f>VLOOKUP($A42,Scoring!$A$3:$G$358,6,FALSE)</f>
        <v>31407093</v>
      </c>
      <c r="G42" s="40" t="str">
        <f>VLOOKUP($A42,Scoring!$A$3:$G$358,7,FALSE)</f>
        <v>AS</v>
      </c>
      <c r="H42" s="18"/>
      <c r="I42" s="33">
        <v>4</v>
      </c>
      <c r="J42" s="17">
        <v>3</v>
      </c>
      <c r="K42" s="33">
        <v>3</v>
      </c>
      <c r="L42" s="17">
        <v>0</v>
      </c>
      <c r="M42" s="42">
        <f t="shared" si="1"/>
        <v>10</v>
      </c>
    </row>
    <row r="43" spans="1:13" x14ac:dyDescent="0.3">
      <c r="A43" s="16" t="s">
        <v>847</v>
      </c>
      <c r="B43" s="14" t="str">
        <f>VLOOKUP($A43,Scoring!$A$3:$G$358,2,FALSE)</f>
        <v>A profile of traumatic injury in the prehospital setting in India: A prospective observational study across seven states</v>
      </c>
      <c r="C43" s="14" t="str">
        <f>VLOOKUP($A43,Scoring!$A$3:$G$358,3,FALSE)</f>
        <v>Injury</v>
      </c>
      <c r="D43" s="40" t="str">
        <f>VLOOKUP($A43,Scoring!$A$3:$G$358,4,FALSE)</f>
        <v>ECRLS</v>
      </c>
      <c r="E43" s="40" t="str">
        <f>VLOOKUP($A43,Scoring!$A$3:$G$358,5,FALSE)</f>
        <v>OR</v>
      </c>
      <c r="F43" s="40">
        <f>VLOOKUP($A43,Scoring!$A$3:$G$358,6,FALSE)</f>
        <v>31761424</v>
      </c>
      <c r="G43" s="40" t="str">
        <f>VLOOKUP($A43,Scoring!$A$3:$G$358,7,FALSE)</f>
        <v>AS</v>
      </c>
      <c r="H43" s="18"/>
      <c r="I43" s="33">
        <v>4</v>
      </c>
      <c r="J43" s="17">
        <v>4</v>
      </c>
      <c r="K43" s="33">
        <v>5</v>
      </c>
      <c r="L43" s="17">
        <v>2</v>
      </c>
      <c r="M43" s="42">
        <f t="shared" si="1"/>
        <v>15</v>
      </c>
    </row>
    <row r="44" spans="1:13" x14ac:dyDescent="0.3">
      <c r="A44" s="16" t="s">
        <v>852</v>
      </c>
      <c r="B44" s="14" t="str">
        <f>VLOOKUP($A44,Scoring!$A$3:$G$358,2,FALSE)</f>
        <v xml:space="preserve">Management and cost of snakebite injuries at a teaching and referral hospital in Western Kenya </v>
      </c>
      <c r="C44" s="14" t="str">
        <f>VLOOKUP($A44,Scoring!$A$3:$G$358,3,FALSE)</f>
        <v>F1000Res</v>
      </c>
      <c r="D44" s="40" t="str">
        <f>VLOOKUP($A44,Scoring!$A$3:$G$358,4,FALSE)</f>
        <v>ECRLS</v>
      </c>
      <c r="E44" s="40" t="str">
        <f>VLOOKUP($A44,Scoring!$A$3:$G$358,5,FALSE)</f>
        <v>OR</v>
      </c>
      <c r="F44" s="40">
        <f>VLOOKUP($A44,Scoring!$A$3:$G$358,6,FALSE)</f>
        <v>31824667</v>
      </c>
      <c r="G44" s="40" t="str">
        <f>VLOOKUP($A44,Scoring!$A$3:$G$358,7,FALSE)</f>
        <v>AS</v>
      </c>
      <c r="H44" s="18"/>
      <c r="I44" s="33">
        <v>4</v>
      </c>
      <c r="J44" s="17">
        <v>3</v>
      </c>
      <c r="K44" s="33">
        <v>3</v>
      </c>
      <c r="L44" s="17">
        <v>0</v>
      </c>
      <c r="M44" s="42">
        <f t="shared" si="1"/>
        <v>10</v>
      </c>
    </row>
    <row r="45" spans="1:13" x14ac:dyDescent="0.3">
      <c r="A45" s="24" t="s">
        <v>857</v>
      </c>
      <c r="B45" s="14" t="str">
        <f>VLOOKUP($A45,Scoring!$A$3:$G$358,2,FALSE)</f>
        <v>Acute kidney injury in children with severe malaria is common and associated with adverse hospital outcomes</v>
      </c>
      <c r="C45" s="14" t="str">
        <f>VLOOKUP($A45,Scoring!$A$3:$G$358,3,FALSE)</f>
        <v>J Trop Pediatr</v>
      </c>
      <c r="D45" s="40" t="str">
        <f>VLOOKUP($A45,Scoring!$A$3:$G$358,4,FALSE)</f>
        <v>ECRLS</v>
      </c>
      <c r="E45" s="40" t="str">
        <f>VLOOKUP($A45,Scoring!$A$3:$G$358,5,FALSE)</f>
        <v>OR</v>
      </c>
      <c r="F45" s="40">
        <f>VLOOKUP($A45,Scoring!$A$3:$G$358,6,FALSE)</f>
        <v>31505001</v>
      </c>
      <c r="G45" s="40" t="str">
        <f>VLOOKUP($A45,Scoring!$A$3:$G$358,7,FALSE)</f>
        <v>NSAQ</v>
      </c>
      <c r="H45" s="50"/>
      <c r="I45" s="51">
        <v>4</v>
      </c>
      <c r="J45" s="52">
        <v>3</v>
      </c>
      <c r="K45" s="51">
        <v>5</v>
      </c>
      <c r="L45" s="52">
        <v>4</v>
      </c>
      <c r="M45" s="42">
        <f t="shared" si="1"/>
        <v>16</v>
      </c>
    </row>
    <row r="46" spans="1:13" x14ac:dyDescent="0.3">
      <c r="A46" s="16" t="s">
        <v>415</v>
      </c>
      <c r="B46" s="14" t="str">
        <f>VLOOKUP($A46,Scoring!$A$3:$G$358,2,FALSE)</f>
        <v>Profile of patients with spinal cord injuries in Kwazulu-Natal, South Africa: Implications for vocational rehabilitation</v>
      </c>
      <c r="C46" s="14" t="str">
        <f>VLOOKUP($A46,Scoring!$A$3:$G$358,3,FALSE)</f>
        <v>J Spinal Cord Med</v>
      </c>
      <c r="D46" s="40" t="str">
        <f>VLOOKUP($A46,Scoring!$A$3:$G$358,4,FALSE)</f>
        <v>ECRLS</v>
      </c>
      <c r="E46" s="40" t="str">
        <f>VLOOKUP($A46,Scoring!$A$3:$G$358,5,FALSE)</f>
        <v>OR</v>
      </c>
      <c r="F46" s="40">
        <f>VLOOKUP($A46,Scoring!$A$3:$G$358,6,FALSE)</f>
        <v>29388905</v>
      </c>
      <c r="G46" s="40" t="str">
        <f>VLOOKUP($A46,Scoring!$A$3:$G$358,7,FALSE)</f>
        <v>AS</v>
      </c>
      <c r="H46" s="18"/>
      <c r="I46" s="33">
        <v>4</v>
      </c>
      <c r="J46" s="17">
        <v>4</v>
      </c>
      <c r="K46" s="33">
        <v>3</v>
      </c>
      <c r="L46" s="17">
        <v>1</v>
      </c>
      <c r="M46" s="42">
        <f t="shared" si="1"/>
        <v>12</v>
      </c>
    </row>
    <row r="47" spans="1:13" x14ac:dyDescent="0.3">
      <c r="A47" s="16" t="s">
        <v>552</v>
      </c>
      <c r="B47" s="14" t="str">
        <f>VLOOKUP($A47,Scoring!$A$3:$G$358,2,FALSE)</f>
        <v>Surgical referral systems in low- and middle-income countries: A review of the evidence</v>
      </c>
      <c r="C47" s="14" t="str">
        <f>VLOOKUP($A47,Scoring!$A$3:$G$358,3,FALSE)</f>
        <v>PLoS One</v>
      </c>
      <c r="D47" s="40" t="str">
        <f>VLOOKUP($A47,Scoring!$A$3:$G$358,4,FALSE)</f>
        <v>ECRLS</v>
      </c>
      <c r="E47" s="40" t="str">
        <f>VLOOKUP($A47,Scoring!$A$3:$G$358,5,FALSE)</f>
        <v>RE</v>
      </c>
      <c r="F47" s="40">
        <f>VLOOKUP($A47,Scoring!$A$3:$G$358,6,FALSE)</f>
        <v>31560716</v>
      </c>
      <c r="G47" s="40" t="str">
        <f>VLOOKUP($A47,Scoring!$A$3:$G$358,7,FALSE)</f>
        <v>AS</v>
      </c>
      <c r="H47" s="17">
        <v>5</v>
      </c>
      <c r="I47" s="33">
        <v>2</v>
      </c>
      <c r="J47" s="18"/>
      <c r="K47" s="33">
        <v>3</v>
      </c>
      <c r="L47" s="17">
        <v>1</v>
      </c>
      <c r="M47" s="42">
        <f t="shared" si="1"/>
        <v>11</v>
      </c>
    </row>
    <row r="48" spans="1:13" x14ac:dyDescent="0.3">
      <c r="A48" s="20" t="s">
        <v>865</v>
      </c>
      <c r="B48" s="14" t="str">
        <f>VLOOKUP($A48,Scoring!$A$3:$G$358,2,FALSE)</f>
        <v>A global overview of poison treatment apps and databases</v>
      </c>
      <c r="C48" s="14" t="str">
        <f>VLOOKUP($A48,Scoring!$A$3:$G$358,3,FALSE)</f>
        <v>Int J Toxicol</v>
      </c>
      <c r="D48" s="40" t="str">
        <f>VLOOKUP($A48,Scoring!$A$3:$G$358,4,FALSE)</f>
        <v>ECRLS</v>
      </c>
      <c r="E48" s="40" t="str">
        <f>VLOOKUP($A48,Scoring!$A$3:$G$358,5,FALSE)</f>
        <v>RE</v>
      </c>
      <c r="F48" s="40">
        <f>VLOOKUP($A48,Scoring!$A$3:$G$358,6,FALSE)</f>
        <v>30791807</v>
      </c>
      <c r="G48" s="40" t="str">
        <f>VLOOKUP($A48,Scoring!$A$3:$G$358,7,FALSE)</f>
        <v>NSAQ</v>
      </c>
      <c r="H48" s="47">
        <v>1</v>
      </c>
      <c r="I48" s="48">
        <v>0</v>
      </c>
      <c r="J48" s="49"/>
      <c r="K48" s="48">
        <v>2</v>
      </c>
      <c r="L48" s="47">
        <v>2</v>
      </c>
      <c r="M48" s="42">
        <f t="shared" si="1"/>
        <v>5</v>
      </c>
    </row>
    <row r="49" spans="1:13" x14ac:dyDescent="0.3">
      <c r="A49" s="24" t="s">
        <v>883</v>
      </c>
      <c r="B49" s="14" t="str">
        <f>VLOOKUP($A49,Scoring!$A$3:$G$358,2,FALSE)</f>
        <v>Epidemiology of traumatic injuries presenting to an ED in central Haiti: A retrospective cohort study</v>
      </c>
      <c r="C49" s="14" t="str">
        <f>VLOOKUP($A49,Scoring!$A$3:$G$358,3,FALSE)</f>
        <v>Emerg Med J</v>
      </c>
      <c r="D49" s="40" t="str">
        <f>VLOOKUP($A49,Scoring!$A$3:$G$358,4,FALSE)</f>
        <v>ECRLS</v>
      </c>
      <c r="E49" s="40" t="str">
        <f>VLOOKUP($A49,Scoring!$A$3:$G$358,5,FALSE)</f>
        <v>OR</v>
      </c>
      <c r="F49" s="40">
        <f>VLOOKUP($A49,Scoring!$A$3:$G$358,6,FALSE)</f>
        <v>30877264</v>
      </c>
      <c r="G49" s="40" t="str">
        <f>VLOOKUP($A49,Scoring!$A$3:$G$358,7,FALSE)</f>
        <v>NSAQ</v>
      </c>
      <c r="H49" s="50"/>
      <c r="I49" s="51">
        <v>4</v>
      </c>
      <c r="J49" s="52">
        <v>3</v>
      </c>
      <c r="K49" s="51">
        <v>5</v>
      </c>
      <c r="L49" s="52">
        <v>4</v>
      </c>
      <c r="M49" s="42">
        <f t="shared" si="1"/>
        <v>16</v>
      </c>
    </row>
    <row r="50" spans="1:13" x14ac:dyDescent="0.3">
      <c r="A50" s="16" t="s">
        <v>410</v>
      </c>
      <c r="B50" s="14" t="str">
        <f>VLOOKUP($A50,Scoring!$A$3:$G$358,2,FALSE)</f>
        <v>Bacteremia in childhood life-threatening infections in urban Gambia: EUCLIDS in West Africa</v>
      </c>
      <c r="C50" s="14" t="str">
        <f>VLOOKUP($A50,Scoring!$A$3:$G$358,3,FALSE)</f>
        <v>Open Forum Infect Dis</v>
      </c>
      <c r="D50" s="40" t="str">
        <f>VLOOKUP($A50,Scoring!$A$3:$G$358,4,FALSE)</f>
        <v>ECRLS</v>
      </c>
      <c r="E50" s="40" t="str">
        <f>VLOOKUP($A50,Scoring!$A$3:$G$358,5,FALSE)</f>
        <v>OR</v>
      </c>
      <c r="F50" s="40">
        <f>VLOOKUP($A50,Scoring!$A$3:$G$358,6,FALSE)</f>
        <v>31660408</v>
      </c>
      <c r="G50" s="40" t="str">
        <f>VLOOKUP($A50,Scoring!$A$3:$G$358,7,FALSE)</f>
        <v>AS</v>
      </c>
      <c r="H50" s="18"/>
      <c r="I50" s="33">
        <v>4</v>
      </c>
      <c r="J50" s="17">
        <v>4</v>
      </c>
      <c r="K50" s="33">
        <v>3</v>
      </c>
      <c r="L50" s="17">
        <v>1</v>
      </c>
      <c r="M50" s="42">
        <f t="shared" si="1"/>
        <v>12</v>
      </c>
    </row>
    <row r="51" spans="1:13" x14ac:dyDescent="0.3">
      <c r="A51" s="14" t="s">
        <v>560</v>
      </c>
      <c r="B51" s="14" t="str">
        <f>VLOOKUP($A51,Scoring!$A$3:$G$358,2,FALSE)</f>
        <v>Hot topics and current controversies in community-acquired pneumonia</v>
      </c>
      <c r="C51" s="14" t="str">
        <f>VLOOKUP($A51,Scoring!$A$3:$G$358,3,FALSE)</f>
        <v>Breathe</v>
      </c>
      <c r="D51" s="40" t="str">
        <f>VLOOKUP($A51,Scoring!$A$3:$G$358,4,FALSE)</f>
        <v>ECRLS</v>
      </c>
      <c r="E51" s="40" t="str">
        <f>VLOOKUP($A51,Scoring!$A$3:$G$358,5,FALSE)</f>
        <v>RE</v>
      </c>
      <c r="F51" s="40">
        <f>VLOOKUP($A51,Scoring!$A$3:$G$358,6,FALSE)</f>
        <v>31508159</v>
      </c>
      <c r="G51" s="40" t="str">
        <f>VLOOKUP($A51,Scoring!$A$3:$G$358,7,FALSE)</f>
        <v>MMR</v>
      </c>
      <c r="H51" s="65">
        <v>5</v>
      </c>
      <c r="I51" s="42">
        <v>1</v>
      </c>
      <c r="J51" s="18"/>
      <c r="K51" s="42">
        <v>5</v>
      </c>
      <c r="L51" s="65">
        <v>2</v>
      </c>
      <c r="M51" s="42">
        <f t="shared" si="1"/>
        <v>13</v>
      </c>
    </row>
    <row r="52" spans="1:13" x14ac:dyDescent="0.3">
      <c r="A52" s="20" t="s">
        <v>899</v>
      </c>
      <c r="B52" s="14" t="str">
        <f>VLOOKUP($A52,Scoring!$A$3:$G$358,2,FALSE)</f>
        <v>What structural factors influencing emergency and disaster medical response teams? A comparative review study</v>
      </c>
      <c r="C52" s="14" t="str">
        <f>VLOOKUP($A52,Scoring!$A$3:$G$358,3,FALSE)</f>
        <v>J Educ Health Promot</v>
      </c>
      <c r="D52" s="40" t="str">
        <f>VLOOKUP($A52,Scoring!$A$3:$G$358,4,FALSE)</f>
        <v>DHR</v>
      </c>
      <c r="E52" s="40" t="str">
        <f>VLOOKUP($A52,Scoring!$A$3:$G$358,5,FALSE)</f>
        <v>RE</v>
      </c>
      <c r="F52" s="40">
        <f>VLOOKUP($A52,Scoring!$A$3:$G$358,6,FALSE)</f>
        <v>31334262</v>
      </c>
      <c r="G52" s="40" t="str">
        <f>VLOOKUP($A52,Scoring!$A$3:$G$358,7,FALSE)</f>
        <v>NSAQ</v>
      </c>
      <c r="H52" s="47">
        <v>4</v>
      </c>
      <c r="I52" s="48">
        <v>1</v>
      </c>
      <c r="J52" s="49"/>
      <c r="K52" s="48">
        <v>3</v>
      </c>
      <c r="L52" s="47">
        <v>3</v>
      </c>
      <c r="M52" s="42">
        <f t="shared" si="1"/>
        <v>11</v>
      </c>
    </row>
    <row r="53" spans="1:13" x14ac:dyDescent="0.3">
      <c r="A53" s="26" t="s">
        <v>304</v>
      </c>
      <c r="B53" s="14" t="str">
        <f>VLOOKUP($A53,Scoring!$A$3:$G$358,2,FALSE)</f>
        <v>Modelling the impact of chest X-ray and alternative triage approaches prior to seeking a tuberculosis diagnosis</v>
      </c>
      <c r="C53" s="14" t="str">
        <f>VLOOKUP($A53,Scoring!$A$3:$G$358,3,FALSE)</f>
        <v>BMC Infect Dis</v>
      </c>
      <c r="D53" s="40" t="str">
        <f>VLOOKUP($A53,Scoring!$A$3:$G$358,4,FALSE)</f>
        <v>ECRLS</v>
      </c>
      <c r="E53" s="40" t="str">
        <f>VLOOKUP($A53,Scoring!$A$3:$G$358,5,FALSE)</f>
        <v>OR</v>
      </c>
      <c r="F53" s="40">
        <f>VLOOKUP($A53,Scoring!$A$3:$G$358,6,FALSE)</f>
        <v>30691448</v>
      </c>
      <c r="G53" s="40" t="str">
        <f>VLOOKUP($A53,Scoring!$A$3:$G$358,7,FALSE)</f>
        <v>AYP</v>
      </c>
      <c r="H53" s="56"/>
      <c r="I53" s="57">
        <f>3+1+1</f>
        <v>5</v>
      </c>
      <c r="J53" s="58">
        <f>2+1+1</f>
        <v>4</v>
      </c>
      <c r="K53" s="57">
        <f>2+2+0</f>
        <v>4</v>
      </c>
      <c r="L53" s="58">
        <f>1+1+1+1</f>
        <v>4</v>
      </c>
      <c r="M53" s="42">
        <f t="shared" si="1"/>
        <v>17</v>
      </c>
    </row>
    <row r="54" spans="1:13" x14ac:dyDescent="0.3">
      <c r="A54" s="32" t="s">
        <v>30</v>
      </c>
      <c r="B54" s="14" t="str">
        <f>VLOOKUP($A54,Scoring!$A$3:$G$358,2,FALSE)</f>
        <v>Evaluation of the early warning, alert and response system after Cyclone Winston, Fiji, 2016</v>
      </c>
      <c r="C54" s="14" t="str">
        <f>VLOOKUP($A54,Scoring!$A$3:$G$358,3,FALSE)</f>
        <v>Bull World Health Organ</v>
      </c>
      <c r="D54" s="40" t="str">
        <f>VLOOKUP($A54,Scoring!$A$3:$G$358,4,FALSE)</f>
        <v>DHR</v>
      </c>
      <c r="E54" s="40" t="str">
        <f>VLOOKUP($A54,Scoring!$A$3:$G$358,5,FALSE)</f>
        <v>OR</v>
      </c>
      <c r="F54" s="40">
        <f>VLOOKUP($A54,Scoring!$A$3:$G$358,6,FALSE)</f>
        <v>30992631</v>
      </c>
      <c r="G54" s="40" t="str">
        <f>VLOOKUP($A54,Scoring!$A$3:$G$358,7,FALSE)</f>
        <v>KSB</v>
      </c>
      <c r="H54" s="62"/>
      <c r="I54" s="63">
        <v>3</v>
      </c>
      <c r="J54" s="64">
        <v>3</v>
      </c>
      <c r="K54" s="63">
        <v>5</v>
      </c>
      <c r="L54" s="64">
        <v>4</v>
      </c>
      <c r="M54" s="42">
        <f t="shared" si="1"/>
        <v>15</v>
      </c>
    </row>
    <row r="55" spans="1:13" x14ac:dyDescent="0.3">
      <c r="A55" s="32" t="s">
        <v>55</v>
      </c>
      <c r="B55" s="14" t="str">
        <f>VLOOKUP($A55,Scoring!$A$3:$G$358,2,FALSE)</f>
        <v>Interdisciplinary in situ simulation-based medical education in the emergency department of a teaching hospital in Nepal</v>
      </c>
      <c r="C55" s="14" t="str">
        <f>VLOOKUP($A55,Scoring!$A$3:$G$358,3,FALSE)</f>
        <v>Int J Emerg Med</v>
      </c>
      <c r="D55" s="40" t="str">
        <f>VLOOKUP($A55,Scoring!$A$3:$G$358,4,FALSE)</f>
        <v>EMD</v>
      </c>
      <c r="E55" s="40" t="str">
        <f>VLOOKUP($A55,Scoring!$A$3:$G$358,5,FALSE)</f>
        <v>OR</v>
      </c>
      <c r="F55" s="40">
        <f>VLOOKUP($A55,Scoring!$A$3:$G$358,6,FALSE)</f>
        <v>31455223</v>
      </c>
      <c r="G55" s="40" t="str">
        <f>VLOOKUP($A55,Scoring!$A$3:$G$358,7,FALSE)</f>
        <v>JB</v>
      </c>
      <c r="H55" s="62"/>
      <c r="I55" s="63">
        <v>4</v>
      </c>
      <c r="J55" s="64">
        <v>4</v>
      </c>
      <c r="K55" s="63">
        <v>5</v>
      </c>
      <c r="L55" s="64">
        <v>5</v>
      </c>
      <c r="M55" s="42">
        <f t="shared" si="1"/>
        <v>18</v>
      </c>
    </row>
    <row r="56" spans="1:13" x14ac:dyDescent="0.3">
      <c r="A56" s="24" t="s">
        <v>905</v>
      </c>
      <c r="B56" s="14" t="str">
        <f>VLOOKUP($A56,Scoring!$A$3:$G$358,2,FALSE)</f>
        <v>Feasibility and preliminary validity evidence for remote video-based assessment of clinicians in a global health setting</v>
      </c>
      <c r="C56" s="14" t="str">
        <f>VLOOKUP($A56,Scoring!$A$3:$G$358,3,FALSE)</f>
        <v>PLoS One</v>
      </c>
      <c r="D56" s="40" t="str">
        <f>VLOOKUP($A56,Scoring!$A$3:$G$358,4,FALSE)</f>
        <v>EMD</v>
      </c>
      <c r="E56" s="40" t="str">
        <f>VLOOKUP($A56,Scoring!$A$3:$G$358,5,FALSE)</f>
        <v>OR</v>
      </c>
      <c r="F56" s="40">
        <f>VLOOKUP($A56,Scoring!$A$3:$G$358,6,FALSE)</f>
        <v>31374102</v>
      </c>
      <c r="G56" s="40" t="str">
        <f>VLOOKUP($A56,Scoring!$A$3:$G$358,7,FALSE)</f>
        <v>NSAQ</v>
      </c>
      <c r="H56" s="50"/>
      <c r="I56" s="51">
        <v>4</v>
      </c>
      <c r="J56" s="52">
        <v>4</v>
      </c>
      <c r="K56" s="51">
        <v>3</v>
      </c>
      <c r="L56" s="52">
        <v>3</v>
      </c>
      <c r="M56" s="42">
        <f t="shared" si="1"/>
        <v>14</v>
      </c>
    </row>
    <row r="57" spans="1:13" x14ac:dyDescent="0.3">
      <c r="A57" s="14" t="s">
        <v>548</v>
      </c>
      <c r="B57" s="14" t="str">
        <f>VLOOKUP($A57,Scoring!$A$3:$G$358,2,FALSE)</f>
        <v>Trauma care and development assistance: Opportunities to reduce the burden of injury and strengthen health systems</v>
      </c>
      <c r="C57" s="14" t="str">
        <f>VLOOKUP($A57,Scoring!$A$3:$G$358,3,FALSE)</f>
        <v>Bull World Health Organ</v>
      </c>
      <c r="D57" s="40" t="str">
        <f>VLOOKUP($A57,Scoring!$A$3:$G$358,4,FALSE)</f>
        <v>EMD</v>
      </c>
      <c r="E57" s="40" t="str">
        <f>VLOOKUP($A57,Scoring!$A$3:$G$358,5,FALSE)</f>
        <v>RE</v>
      </c>
      <c r="F57" s="40">
        <f>VLOOKUP($A57,Scoring!$A$3:$G$358,6,FALSE)</f>
        <v>31551634</v>
      </c>
      <c r="G57" s="40" t="str">
        <f>VLOOKUP($A57,Scoring!$A$3:$G$358,7,FALSE)</f>
        <v>KSB</v>
      </c>
      <c r="H57" s="65">
        <v>2</v>
      </c>
      <c r="I57" s="42">
        <v>0</v>
      </c>
      <c r="J57" s="18"/>
      <c r="K57" s="42">
        <v>5</v>
      </c>
      <c r="L57" s="65">
        <v>1</v>
      </c>
      <c r="M57" s="42">
        <f t="shared" si="1"/>
        <v>8</v>
      </c>
    </row>
    <row r="58" spans="1:13" x14ac:dyDescent="0.3">
      <c r="A58" s="21" t="s">
        <v>569</v>
      </c>
      <c r="B58" s="14" t="str">
        <f>VLOOKUP($A58,Scoring!$A$3:$G$358,2,FALSE)</f>
        <v>Risks threatening the health of people participating in mass gatherings: A systematic review</v>
      </c>
      <c r="C58" s="14" t="str">
        <f>VLOOKUP($A58,Scoring!$A$3:$G$358,3,FALSE)</f>
        <v>J Educ Health Promot</v>
      </c>
      <c r="D58" s="40" t="str">
        <f>VLOOKUP($A58,Scoring!$A$3:$G$358,4,FALSE)</f>
        <v>EMD</v>
      </c>
      <c r="E58" s="40" t="str">
        <f>VLOOKUP($A58,Scoring!$A$3:$G$358,5,FALSE)</f>
        <v>RE</v>
      </c>
      <c r="F58" s="40">
        <f>VLOOKUP($A58,Scoring!$A$3:$G$358,6,FALSE)</f>
        <v>31807599</v>
      </c>
      <c r="G58" s="40" t="str">
        <f>VLOOKUP($A58,Scoring!$A$3:$G$358,7,FALSE)</f>
        <v>NSAQ</v>
      </c>
      <c r="H58" s="22">
        <v>5</v>
      </c>
      <c r="I58" s="34">
        <v>5</v>
      </c>
      <c r="J58" s="23"/>
      <c r="K58" s="34">
        <v>2</v>
      </c>
      <c r="L58" s="22">
        <v>3</v>
      </c>
      <c r="M58" s="42">
        <f t="shared" si="1"/>
        <v>15</v>
      </c>
    </row>
    <row r="59" spans="1:13" x14ac:dyDescent="0.3">
      <c r="A59" s="14" t="s">
        <v>433</v>
      </c>
      <c r="B59" s="14" t="str">
        <f>VLOOKUP($A59,Scoring!$A$3:$G$358,2,FALSE)</f>
        <v>Functional impairment as a proxy measure indicating high rates of trauma exposure, post-migration living difficulties, common mental disorders, and poor health amongst Rohingya refugees in Malaysia</v>
      </c>
      <c r="C59" s="14" t="str">
        <f>VLOOKUP($A59,Scoring!$A$3:$G$358,3,FALSE)</f>
        <v>Transl Psychiatry</v>
      </c>
      <c r="D59" s="40" t="str">
        <f>VLOOKUP($A59,Scoring!$A$3:$G$358,4,FALSE)</f>
        <v>DHR</v>
      </c>
      <c r="E59" s="40" t="str">
        <f>VLOOKUP($A59,Scoring!$A$3:$G$358,5,FALSE)</f>
        <v>OR</v>
      </c>
      <c r="F59" s="40">
        <f>VLOOKUP($A59,Scoring!$A$3:$G$358,6,FALSE)</f>
        <v>31477686</v>
      </c>
      <c r="G59" s="40" t="str">
        <f>VLOOKUP($A59,Scoring!$A$3:$G$358,7,FALSE)</f>
        <v>MMR</v>
      </c>
      <c r="H59" s="18"/>
      <c r="I59" s="42">
        <v>3</v>
      </c>
      <c r="J59" s="65">
        <v>4</v>
      </c>
      <c r="K59" s="42">
        <v>4</v>
      </c>
      <c r="L59" s="65">
        <v>4</v>
      </c>
      <c r="M59" s="42">
        <f t="shared" si="1"/>
        <v>15</v>
      </c>
    </row>
    <row r="60" spans="1:13" x14ac:dyDescent="0.3">
      <c r="A60" s="24" t="s">
        <v>230</v>
      </c>
      <c r="B60" s="14" t="str">
        <f>VLOOKUP($A60,Scoring!$A$3:$G$358,2,FALSE)</f>
        <v>London calling Gaza: The role of international collaborations in the globalisation of postgraduate burn care education</v>
      </c>
      <c r="C60" s="14" t="str">
        <f>VLOOKUP($A60,Scoring!$A$3:$G$358,3,FALSE)</f>
        <v>Scars Burn Heal</v>
      </c>
      <c r="D60" s="40" t="str">
        <f>VLOOKUP($A60,Scoring!$A$3:$G$358,4,FALSE)</f>
        <v>EMD</v>
      </c>
      <c r="E60" s="40" t="str">
        <f>VLOOKUP($A60,Scoring!$A$3:$G$358,5,FALSE)</f>
        <v>OR</v>
      </c>
      <c r="F60" s="40">
        <f>VLOOKUP($A60,Scoring!$A$3:$G$358,6,FALSE)</f>
        <v>30815281</v>
      </c>
      <c r="G60" s="40" t="str">
        <f>VLOOKUP($A60,Scoring!$A$3:$G$358,7,FALSE)</f>
        <v>NSAQ</v>
      </c>
      <c r="H60" s="50"/>
      <c r="I60" s="51">
        <v>3</v>
      </c>
      <c r="J60" s="52">
        <v>1</v>
      </c>
      <c r="K60" s="51">
        <v>4</v>
      </c>
      <c r="L60" s="52">
        <v>3</v>
      </c>
      <c r="M60" s="42">
        <f t="shared" si="1"/>
        <v>11</v>
      </c>
    </row>
    <row r="61" spans="1:13" x14ac:dyDescent="0.3">
      <c r="A61" s="27" t="s">
        <v>353</v>
      </c>
      <c r="B61" s="14" t="str">
        <f>VLOOKUP($A61,Scoring!$A$3:$G$358,2,FALSE)</f>
        <v>Helping Babies Breathe and its effects on intrapartum-related stillbirths and neonatal mortality in low-resource settings: A systematic review</v>
      </c>
      <c r="C61" s="14" t="str">
        <f>VLOOKUP($A61,Scoring!$A$3:$G$358,3,FALSE)</f>
        <v>Arch Dis Child</v>
      </c>
      <c r="D61" s="40" t="str">
        <f>VLOOKUP($A61,Scoring!$A$3:$G$358,4,FALSE)</f>
        <v>EMD</v>
      </c>
      <c r="E61" s="40" t="str">
        <f>VLOOKUP($A61,Scoring!$A$3:$G$358,5,FALSE)</f>
        <v>RE</v>
      </c>
      <c r="F61" s="40">
        <f>VLOOKUP($A61,Scoring!$A$3:$G$358,6,FALSE)</f>
        <v>31278145</v>
      </c>
      <c r="G61" s="40" t="str">
        <f>VLOOKUP($A61,Scoring!$A$3:$G$358,7,FALSE)</f>
        <v>BJH</v>
      </c>
      <c r="H61" s="30">
        <v>5</v>
      </c>
      <c r="I61" s="35">
        <v>5</v>
      </c>
      <c r="J61" s="29"/>
      <c r="K61" s="35">
        <v>4</v>
      </c>
      <c r="L61" s="30">
        <v>5</v>
      </c>
      <c r="M61" s="42">
        <f t="shared" si="1"/>
        <v>19</v>
      </c>
    </row>
    <row r="62" spans="1:13" x14ac:dyDescent="0.3">
      <c r="A62" s="26" t="s">
        <v>306</v>
      </c>
      <c r="B62" s="14" t="str">
        <f>VLOOKUP($A62,Scoring!$A$3:$G$358,2,FALSE)</f>
        <v>Effective triage in the Pacific region: The development and implementation of the Solomon Islands Triage Scale</v>
      </c>
      <c r="C62" s="14" t="str">
        <f>VLOOKUP($A62,Scoring!$A$3:$G$358,3,FALSE)</f>
        <v>Emerg Med Australas</v>
      </c>
      <c r="D62" s="40" t="str">
        <f>VLOOKUP($A62,Scoring!$A$3:$G$358,4,FALSE)</f>
        <v>ECRLS</v>
      </c>
      <c r="E62" s="40" t="str">
        <f>VLOOKUP($A62,Scoring!$A$3:$G$358,5,FALSE)</f>
        <v>OR</v>
      </c>
      <c r="F62" s="40">
        <f>VLOOKUP($A62,Scoring!$A$3:$G$358,6,FALSE)</f>
        <v>30866177</v>
      </c>
      <c r="G62" s="40" t="str">
        <f>VLOOKUP($A62,Scoring!$A$3:$G$358,7,FALSE)</f>
        <v>AYP</v>
      </c>
      <c r="H62" s="56"/>
      <c r="I62" s="57">
        <f>1+1+1</f>
        <v>3</v>
      </c>
      <c r="J62" s="58">
        <f>2+1+1</f>
        <v>4</v>
      </c>
      <c r="K62" s="57">
        <f>2+2+1</f>
        <v>5</v>
      </c>
      <c r="L62" s="58">
        <f>1+1+1+1</f>
        <v>4</v>
      </c>
      <c r="M62" s="42">
        <f t="shared" si="1"/>
        <v>16</v>
      </c>
    </row>
    <row r="63" spans="1:13" x14ac:dyDescent="0.3">
      <c r="A63" s="16" t="s">
        <v>946</v>
      </c>
      <c r="B63" s="14" t="str">
        <f>VLOOKUP($A63,Scoring!$A$3:$G$358,2,FALSE)</f>
        <v xml:space="preserve">Traumatic injuries in rural Honduras: A two month pilot study </v>
      </c>
      <c r="C63" s="14" t="str">
        <f>VLOOKUP($A63,Scoring!$A$3:$G$358,3,FALSE)</f>
        <v>Am J Emerg Med</v>
      </c>
      <c r="D63" s="40" t="str">
        <f>VLOOKUP($A63,Scoring!$A$3:$G$358,4,FALSE)</f>
        <v>ECRLS</v>
      </c>
      <c r="E63" s="40" t="str">
        <f>VLOOKUP($A63,Scoring!$A$3:$G$358,5,FALSE)</f>
        <v>OR</v>
      </c>
      <c r="F63" s="40">
        <f>VLOOKUP($A63,Scoring!$A$3:$G$358,6,FALSE)</f>
        <v>31839518</v>
      </c>
      <c r="G63" s="40" t="str">
        <f>VLOOKUP($A63,Scoring!$A$3:$G$358,7,FALSE)</f>
        <v>AS</v>
      </c>
      <c r="H63" s="18"/>
      <c r="I63" s="33">
        <v>4</v>
      </c>
      <c r="J63" s="17">
        <v>3</v>
      </c>
      <c r="K63" s="33">
        <v>3</v>
      </c>
      <c r="L63" s="17">
        <v>3</v>
      </c>
      <c r="M63" s="42">
        <f t="shared" si="1"/>
        <v>13</v>
      </c>
    </row>
  </sheetData>
  <sortState xmlns:xlrd2="http://schemas.microsoft.com/office/spreadsheetml/2017/richdata2" ref="A2:M63">
    <sortCondition ref="A1"/>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Q J G Y T 7 6 8 F Z + o A A A A + A A A A B I A H A B D b 2 5 m a W c v U G F j a 2 F n Z S 5 4 b W w g o h g A K K A U A A A A A A A A A A A A A A A A A A A A A A A A A A A A h Y 9 B D o I w F E S v Q r q n L Q g q 5 F M W b i U x I R q 3 D V R o h G J o s d z N h U f y C p I o 6 s 7 l T N 4 k b x 6 3 O 6 R j 2 z h X 0 W v Z q Q R 5 m C J H q K I r p a o S N J i T u 0 Y p g x 0 v z r w S z g Q r H Y 9 a J q g 2 5 h I T Y q 3 F d o G 7 v i I + p R 4 5 Z t u 8 q E X L X a m 0 4 a o Q 6 L M q / 6 8 Q g 8 N L h v l 4 F e J w G U Q 4 C j w g c w 2 Z V F / E n 4 w x B f J T w m Z o z N A L J p S 7 z 4 H M E c j 7 B X s C U E s D B B Q A A g A I A E C R m E 8 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A k Z h P K I p H u A 4 A A A A R A A A A E w A c A E Z v c m 1 1 b G F z L 1 N l Y 3 R p b 2 4 x L m 0 g o h g A K K A U A A A A A A A A A A A A A A A A A A A A A A A A A A A A K 0 5 N L s n M z 1 M I h t C G 1 g B Q S w E C L Q A U A A I A C A B A k Z h P v r w V n 6 g A A A D 4 A A A A E g A A A A A A A A A A A A A A A A A A A A A A Q 2 9 u Z m l n L 1 B h Y 2 t h Z 2 U u e G 1 s U E s B A i 0 A F A A C A A g A Q J G Y T w / K 6 a u k A A A A 6 Q A A A B M A A A A A A A A A A A A A A A A A 9 A A A A F t D b 2 5 0 Z W 5 0 X 1 R 5 c G V z X S 5 4 b W x Q S w E C L Q A U A A I A C A B A k Z h P 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u / f x m R D Z A k m B b 8 I S K R j E A w A A A A A C A A A A A A A Q Z g A A A A E A A C A A A A B m g A N a F t g P X A R C B f j o 2 J q Q e d E l Z v Y E g i Q Z t S B B W d c F g w A A A A A O g A A A A A I A A C A A A A C b y y a l g j u v M Q f s 5 C r R 3 F 3 8 C l 5 l 6 X z h u S K a o 0 0 U Y / r b g l A A A A C 7 B 2 H L j 1 l C w g B N 9 8 a O 9 x i G Z d y m z K q n E 5 E 0 3 P n 0 m S u 7 v q p N + H h E 4 q k 7 T p / 5 S n b n r a V 8 H O n 0 p k I 8 l l L T F r t I w R g D I p / t 7 I E B a d c 5 m 8 H V C d E j 7 k A A A A C f u F d S 9 O k R f m 5 h p 4 + M I G i U R m C A 0 Y h G F g Y o 4 n 1 o r K V r / e / 2 D j G H 6 A A w 4 r A y q N u h J B d O + l b g K m 4 z G / k v h O N m p g R b < / D a t a M a s h u p > 
</file>

<file path=customXml/itemProps1.xml><?xml version="1.0" encoding="utf-8"?>
<ds:datastoreItem xmlns:ds="http://schemas.openxmlformats.org/officeDocument/2006/customXml" ds:itemID="{6BF69776-A1AC-48ED-8B44-63147482016E}">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Scoring</vt:lpstr>
      <vt:lpstr>Editors Rescore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Indi Trehan</dc:creator>
  <cp:lastModifiedBy>Copy Editor</cp:lastModifiedBy>
  <dcterms:created xsi:type="dcterms:W3CDTF">2019-12-25T00:10:04Z</dcterms:created>
  <dcterms:modified xsi:type="dcterms:W3CDTF">2020-08-13T03:24:50Z</dcterms:modified>
</cp:coreProperties>
</file>